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press970\OneDrive\桌面\"/>
    </mc:Choice>
  </mc:AlternateContent>
  <xr:revisionPtr revIDLastSave="81" documentId="11_5BE0A321B0121E93A5F8DDB9215C2E7432B27B5A" xr6:coauthVersionLast="36" xr6:coauthVersionMax="36" xr10:uidLastSave="{05836605-A5E1-4259-BA32-940AE32A9E62}"/>
  <bookViews>
    <workbookView xWindow="0" yWindow="0" windowWidth="19428" windowHeight="9312" firstSheet="4" activeTab="7" xr2:uid="{00000000-000D-0000-FFFF-FFFF00000000}"/>
  </bookViews>
  <sheets>
    <sheet name="01_1081養殖系(白)" sheetId="10" r:id="rId1"/>
    <sheet name="02_1081食科系(紅)" sheetId="11" r:id="rId2"/>
    <sheet name="03_1081輪機系(黃)" sheetId="12" r:id="rId3"/>
    <sheet name="04_1081機械系(藍)" sheetId="13" r:id="rId4"/>
    <sheet name="05_1081光電海洋工程_馬祖海工(橘)" sheetId="14" r:id="rId5"/>
    <sheet name="06_1081生科_馬祖海生(紫)" sheetId="16" r:id="rId6"/>
    <sheet name="07_1081海洋環漁(淺黃)" sheetId="17" r:id="rId7"/>
    <sheet name="工作表1" sheetId="18" r:id="rId8"/>
  </sheets>
  <calcPr calcId="191029"/>
</workbook>
</file>

<file path=xl/calcChain.xml><?xml version="1.0" encoding="utf-8"?>
<calcChain xmlns="http://schemas.openxmlformats.org/spreadsheetml/2006/main">
  <c r="C137" i="18" l="1"/>
  <c r="B137" i="18"/>
  <c r="C136" i="18"/>
  <c r="C135" i="18"/>
  <c r="C133" i="18"/>
  <c r="C132" i="18"/>
  <c r="C131" i="18"/>
  <c r="B10" i="18"/>
  <c r="E125" i="18"/>
  <c r="F125" i="18"/>
  <c r="G125" i="18"/>
  <c r="H125" i="18"/>
  <c r="I125" i="18"/>
  <c r="J125" i="18"/>
  <c r="K125" i="18"/>
  <c r="L125" i="18"/>
  <c r="M125" i="18"/>
  <c r="N125" i="18"/>
  <c r="O125" i="18"/>
  <c r="P125" i="18"/>
  <c r="Q125" i="18"/>
  <c r="D125" i="18"/>
  <c r="R124" i="18"/>
  <c r="B124" i="18"/>
  <c r="A124" i="18"/>
  <c r="R123" i="18"/>
  <c r="B123" i="18"/>
  <c r="A123" i="18"/>
  <c r="R122" i="18"/>
  <c r="C122" i="18"/>
  <c r="B122" i="18"/>
  <c r="A122" i="18"/>
  <c r="R121" i="18"/>
  <c r="C121" i="18"/>
  <c r="B121" i="18"/>
  <c r="A121" i="18"/>
  <c r="R120" i="18"/>
  <c r="C120" i="18"/>
  <c r="B120" i="18"/>
  <c r="A120" i="18"/>
  <c r="R119" i="18"/>
  <c r="C119" i="18"/>
  <c r="B119" i="18"/>
  <c r="A119" i="18"/>
  <c r="R118" i="18"/>
  <c r="C118" i="18"/>
  <c r="B118" i="18"/>
  <c r="A118" i="18"/>
  <c r="R117" i="18"/>
  <c r="C117" i="18"/>
  <c r="B117" i="18"/>
  <c r="A117" i="18"/>
  <c r="R116" i="18"/>
  <c r="C116" i="18"/>
  <c r="B116" i="18"/>
  <c r="A116" i="18"/>
  <c r="R115" i="18"/>
  <c r="C115" i="18"/>
  <c r="B115" i="18"/>
  <c r="A115" i="18"/>
  <c r="R114" i="18"/>
  <c r="C114" i="18"/>
  <c r="B114" i="18"/>
  <c r="A114" i="18"/>
  <c r="R113" i="18"/>
  <c r="C113" i="18"/>
  <c r="B113" i="18"/>
  <c r="A113" i="18"/>
  <c r="R112" i="18"/>
  <c r="C112" i="18"/>
  <c r="B112" i="18"/>
  <c r="A112" i="18"/>
  <c r="R111" i="18"/>
  <c r="C111" i="18"/>
  <c r="B111" i="18"/>
  <c r="A111" i="18"/>
  <c r="R110" i="18"/>
  <c r="C110" i="18"/>
  <c r="B110" i="18"/>
  <c r="A110" i="18"/>
  <c r="R109" i="18"/>
  <c r="C109" i="18"/>
  <c r="B109" i="18"/>
  <c r="A109" i="18"/>
  <c r="R108" i="18"/>
  <c r="C108" i="18"/>
  <c r="B108" i="18"/>
  <c r="A108" i="18"/>
  <c r="R107" i="18"/>
  <c r="C107" i="18"/>
  <c r="B107" i="18"/>
  <c r="A107" i="18"/>
  <c r="R106" i="18"/>
  <c r="C106" i="18"/>
  <c r="B106" i="18"/>
  <c r="A106" i="18"/>
  <c r="R105" i="18"/>
  <c r="C105" i="18"/>
  <c r="B105" i="18"/>
  <c r="A105" i="18"/>
  <c r="R104" i="18"/>
  <c r="B104" i="18"/>
  <c r="A104" i="18"/>
  <c r="R103" i="18"/>
  <c r="B103" i="18"/>
  <c r="A103" i="18"/>
  <c r="R102" i="18"/>
  <c r="C102" i="18"/>
  <c r="B102" i="18"/>
  <c r="A102" i="18"/>
  <c r="R101" i="18"/>
  <c r="C101" i="18"/>
  <c r="B101" i="18"/>
  <c r="A101" i="18"/>
  <c r="R100" i="18"/>
  <c r="C100" i="18"/>
  <c r="B100" i="18"/>
  <c r="A100" i="18"/>
  <c r="R99" i="18"/>
  <c r="C99" i="18"/>
  <c r="B99" i="18"/>
  <c r="A99" i="18"/>
  <c r="R98" i="18"/>
  <c r="C98" i="18"/>
  <c r="B98" i="18"/>
  <c r="A98" i="18"/>
  <c r="R97" i="18"/>
  <c r="C97" i="18"/>
  <c r="B97" i="18"/>
  <c r="A97" i="18"/>
  <c r="R96" i="18"/>
  <c r="C96" i="18"/>
  <c r="B96" i="18"/>
  <c r="A96" i="18"/>
  <c r="R95" i="18"/>
  <c r="C95" i="18"/>
  <c r="B95" i="18"/>
  <c r="A95" i="18"/>
  <c r="R94" i="18"/>
  <c r="C94" i="18"/>
  <c r="B94" i="18"/>
  <c r="A94" i="18"/>
  <c r="R91" i="18"/>
  <c r="C91" i="18"/>
  <c r="B91" i="18"/>
  <c r="A91" i="18"/>
  <c r="R93" i="18"/>
  <c r="C93" i="18"/>
  <c r="B93" i="18"/>
  <c r="A93" i="18"/>
  <c r="R92" i="18"/>
  <c r="C92" i="18"/>
  <c r="B92" i="18"/>
  <c r="A92" i="18"/>
  <c r="R90" i="18"/>
  <c r="C90" i="18"/>
  <c r="B90" i="18"/>
  <c r="A90" i="18"/>
  <c r="R89" i="18"/>
  <c r="C89" i="18"/>
  <c r="B89" i="18"/>
  <c r="A89" i="18"/>
  <c r="R88" i="18"/>
  <c r="C88" i="18"/>
  <c r="B88" i="18"/>
  <c r="A88" i="18"/>
  <c r="R87" i="18"/>
  <c r="C87" i="18"/>
  <c r="B87" i="18"/>
  <c r="A87" i="18"/>
  <c r="R86" i="18"/>
  <c r="C86" i="18"/>
  <c r="B86" i="18"/>
  <c r="A86" i="18"/>
  <c r="R85" i="18"/>
  <c r="C85" i="18"/>
  <c r="B85" i="18"/>
  <c r="A85" i="18"/>
  <c r="R84" i="18"/>
  <c r="C84" i="18"/>
  <c r="B84" i="18"/>
  <c r="A84" i="18"/>
  <c r="R83" i="18"/>
  <c r="C83" i="18"/>
  <c r="B83" i="18"/>
  <c r="A83" i="18"/>
  <c r="R82" i="18"/>
  <c r="C82" i="18"/>
  <c r="B82" i="18"/>
  <c r="A82" i="18"/>
  <c r="R81" i="18"/>
  <c r="C81" i="18"/>
  <c r="B81" i="18"/>
  <c r="A81" i="18"/>
  <c r="R80" i="18"/>
  <c r="C80" i="18"/>
  <c r="B80" i="18"/>
  <c r="A80" i="18"/>
  <c r="R79" i="18"/>
  <c r="C79" i="18"/>
  <c r="B79" i="18"/>
  <c r="A79" i="18"/>
  <c r="R78" i="18"/>
  <c r="C78" i="18"/>
  <c r="B78" i="18"/>
  <c r="A78" i="18"/>
  <c r="R77" i="18"/>
  <c r="C77" i="18"/>
  <c r="B77" i="18"/>
  <c r="A77" i="18"/>
  <c r="R76" i="18"/>
  <c r="C76" i="18"/>
  <c r="B76" i="18"/>
  <c r="A76" i="18"/>
  <c r="R75" i="18"/>
  <c r="C75" i="18"/>
  <c r="B75" i="18"/>
  <c r="A75" i="18"/>
  <c r="R74" i="18"/>
  <c r="C74" i="18"/>
  <c r="B74" i="18"/>
  <c r="A74" i="18"/>
  <c r="R73" i="18"/>
  <c r="C73" i="18"/>
  <c r="B73" i="18"/>
  <c r="A73" i="18"/>
  <c r="R72" i="18"/>
  <c r="C72" i="18"/>
  <c r="B72" i="18"/>
  <c r="A72" i="18"/>
  <c r="R71" i="18"/>
  <c r="C71" i="18"/>
  <c r="B71" i="18"/>
  <c r="A71" i="18"/>
  <c r="R70" i="18"/>
  <c r="C70" i="18"/>
  <c r="B70" i="18"/>
  <c r="A70" i="18"/>
  <c r="R69" i="18"/>
  <c r="C69" i="18"/>
  <c r="B69" i="18"/>
  <c r="A69" i="18"/>
  <c r="R68" i="18"/>
  <c r="C68" i="18"/>
  <c r="B68" i="18"/>
  <c r="A68" i="18"/>
  <c r="R67" i="18"/>
  <c r="B67" i="18"/>
  <c r="A67" i="18"/>
  <c r="R66" i="18"/>
  <c r="B66" i="18"/>
  <c r="A66" i="18"/>
  <c r="R65" i="18"/>
  <c r="C65" i="18"/>
  <c r="B65" i="18"/>
  <c r="A65" i="18"/>
  <c r="R64" i="18"/>
  <c r="C64" i="18"/>
  <c r="B64" i="18"/>
  <c r="A64" i="18"/>
  <c r="R63" i="18"/>
  <c r="C63" i="18"/>
  <c r="B63" i="18"/>
  <c r="A63" i="18"/>
  <c r="R62" i="18"/>
  <c r="C62" i="18"/>
  <c r="B62" i="18"/>
  <c r="A62" i="18"/>
  <c r="R61" i="18"/>
  <c r="C61" i="18"/>
  <c r="B61" i="18"/>
  <c r="A61" i="18"/>
  <c r="R60" i="18"/>
  <c r="C60" i="18"/>
  <c r="B60" i="18"/>
  <c r="A60" i="18"/>
  <c r="R59" i="18"/>
  <c r="C59" i="18"/>
  <c r="B59" i="18"/>
  <c r="A59" i="18"/>
  <c r="R58" i="18"/>
  <c r="C58" i="18"/>
  <c r="B58" i="18"/>
  <c r="A58" i="18"/>
  <c r="R57" i="18"/>
  <c r="C57" i="18"/>
  <c r="B57" i="18"/>
  <c r="A57" i="18"/>
  <c r="R56" i="18"/>
  <c r="C56" i="18"/>
  <c r="B56" i="18"/>
  <c r="A56" i="18"/>
  <c r="R55" i="18"/>
  <c r="C55" i="18"/>
  <c r="B55" i="18"/>
  <c r="A55" i="18"/>
  <c r="R54" i="18"/>
  <c r="C54" i="18"/>
  <c r="B54" i="18"/>
  <c r="A54" i="18"/>
  <c r="R53" i="18"/>
  <c r="C53" i="18"/>
  <c r="B53" i="18"/>
  <c r="A53" i="18"/>
  <c r="R52" i="18"/>
  <c r="C52" i="18"/>
  <c r="B52" i="18"/>
  <c r="A52" i="18"/>
  <c r="R51" i="18"/>
  <c r="C51" i="18"/>
  <c r="B51" i="18"/>
  <c r="A51" i="18"/>
  <c r="R50" i="18"/>
  <c r="C50" i="18"/>
  <c r="B50" i="18"/>
  <c r="A50" i="18"/>
  <c r="R49" i="18"/>
  <c r="C49" i="18"/>
  <c r="B49" i="18"/>
  <c r="A49" i="18"/>
  <c r="R48" i="18"/>
  <c r="C48" i="18"/>
  <c r="B48" i="18"/>
  <c r="A48" i="18"/>
  <c r="R47" i="18"/>
  <c r="C47" i="18"/>
  <c r="B47" i="18"/>
  <c r="A47" i="18"/>
  <c r="R46" i="18"/>
  <c r="C46" i="18"/>
  <c r="B46" i="18"/>
  <c r="A46" i="18"/>
  <c r="R45" i="18"/>
  <c r="C45" i="18"/>
  <c r="B45" i="18"/>
  <c r="A45" i="18"/>
  <c r="R44" i="18"/>
  <c r="C44" i="18"/>
  <c r="B44" i="18"/>
  <c r="A44" i="18"/>
  <c r="R43" i="18"/>
  <c r="C43" i="18"/>
  <c r="B43" i="18"/>
  <c r="A43" i="18"/>
  <c r="R42" i="18"/>
  <c r="C42" i="18"/>
  <c r="B42" i="18"/>
  <c r="A42" i="18"/>
  <c r="R41" i="18"/>
  <c r="C41" i="18"/>
  <c r="B41" i="18"/>
  <c r="A41" i="18"/>
  <c r="R40" i="18"/>
  <c r="C40" i="18"/>
  <c r="B40" i="18"/>
  <c r="A40" i="18"/>
  <c r="R39" i="18"/>
  <c r="C39" i="18"/>
  <c r="B39" i="18"/>
  <c r="A39" i="18"/>
  <c r="R38" i="18"/>
  <c r="C38" i="18"/>
  <c r="B38" i="18"/>
  <c r="A38" i="18"/>
  <c r="R37" i="18"/>
  <c r="C37" i="18"/>
  <c r="B37" i="18"/>
  <c r="A37" i="18"/>
  <c r="R36" i="18"/>
  <c r="C36" i="18"/>
  <c r="B36" i="18"/>
  <c r="A36" i="18"/>
  <c r="R35" i="18"/>
  <c r="C35" i="18"/>
  <c r="B35" i="18"/>
  <c r="A35" i="18"/>
  <c r="R34" i="18"/>
  <c r="C34" i="18"/>
  <c r="B34" i="18"/>
  <c r="A34" i="18"/>
  <c r="R33" i="18"/>
  <c r="C33" i="18"/>
  <c r="B33" i="18"/>
  <c r="A33" i="18"/>
  <c r="R32" i="18"/>
  <c r="C32" i="18"/>
  <c r="B32" i="18"/>
  <c r="A32" i="18"/>
  <c r="R31" i="18"/>
  <c r="C31" i="18"/>
  <c r="B31" i="18"/>
  <c r="A31" i="18"/>
  <c r="R30" i="18"/>
  <c r="C30" i="18"/>
  <c r="B30" i="18"/>
  <c r="A30" i="18"/>
  <c r="R29" i="18"/>
  <c r="C29" i="18"/>
  <c r="B29" i="18"/>
  <c r="A29" i="18"/>
  <c r="R28" i="18"/>
  <c r="C28" i="18"/>
  <c r="B28" i="18"/>
  <c r="A28" i="18"/>
  <c r="R27" i="18"/>
  <c r="C27" i="18"/>
  <c r="B27" i="18"/>
  <c r="A27" i="18"/>
  <c r="R26" i="18"/>
  <c r="C26" i="18"/>
  <c r="B26" i="18"/>
  <c r="A26" i="18"/>
  <c r="R25" i="18"/>
  <c r="C25" i="18"/>
  <c r="B25" i="18"/>
  <c r="A25" i="18"/>
  <c r="R24" i="18"/>
  <c r="C24" i="18"/>
  <c r="B24" i="18"/>
  <c r="A24" i="18"/>
  <c r="R23" i="18"/>
  <c r="C23" i="18"/>
  <c r="B23" i="18"/>
  <c r="A23" i="18"/>
  <c r="R22" i="18"/>
  <c r="C22" i="18"/>
  <c r="B22" i="18"/>
  <c r="A22" i="18"/>
  <c r="R21" i="18"/>
  <c r="C21" i="18"/>
  <c r="B21" i="18"/>
  <c r="A21" i="18"/>
  <c r="R20" i="18"/>
  <c r="C20" i="18"/>
  <c r="B20" i="18"/>
  <c r="A20" i="18"/>
  <c r="R19" i="18"/>
  <c r="C19" i="18"/>
  <c r="B19" i="18"/>
  <c r="A19" i="18"/>
  <c r="R18" i="18"/>
  <c r="C18" i="18"/>
  <c r="B18" i="18"/>
  <c r="A18" i="18"/>
  <c r="R17" i="18"/>
  <c r="C17" i="18"/>
  <c r="B17" i="18"/>
  <c r="A17" i="18"/>
  <c r="R16" i="18"/>
  <c r="C16" i="18"/>
  <c r="B16" i="18"/>
  <c r="A16" i="18"/>
  <c r="R15" i="18"/>
  <c r="C15" i="18"/>
  <c r="B15" i="18"/>
  <c r="A15" i="18"/>
  <c r="R14" i="18"/>
  <c r="C14" i="18"/>
  <c r="B14" i="18"/>
  <c r="A14" i="18"/>
  <c r="R13" i="18"/>
  <c r="C13" i="18"/>
  <c r="B13" i="18"/>
  <c r="A13" i="18"/>
  <c r="R12" i="18"/>
  <c r="C12" i="18"/>
  <c r="B12" i="18"/>
  <c r="A12" i="18"/>
  <c r="R11" i="18"/>
  <c r="C11" i="18"/>
  <c r="B11" i="18"/>
  <c r="A11" i="18"/>
  <c r="R10" i="18"/>
  <c r="C10" i="18"/>
  <c r="A10" i="18"/>
  <c r="R9" i="18"/>
  <c r="C9" i="18"/>
  <c r="B9" i="18"/>
  <c r="A9" i="18"/>
  <c r="R8" i="18"/>
  <c r="C8" i="18"/>
  <c r="B8" i="18"/>
  <c r="A8" i="18"/>
  <c r="R7" i="18"/>
  <c r="C7" i="18"/>
  <c r="B7" i="18"/>
  <c r="A7" i="18"/>
  <c r="R6" i="18"/>
  <c r="C6" i="18"/>
  <c r="B6" i="18"/>
  <c r="A6" i="18"/>
  <c r="R5" i="18"/>
  <c r="C5" i="18"/>
  <c r="B5" i="18"/>
  <c r="A5" i="18"/>
  <c r="R4" i="18"/>
  <c r="C4" i="18"/>
  <c r="B4" i="18"/>
  <c r="A4" i="18"/>
  <c r="R3" i="18"/>
  <c r="C3" i="18"/>
  <c r="B3" i="18"/>
  <c r="A3" i="18"/>
  <c r="R2" i="18"/>
  <c r="C130" i="18" s="1"/>
  <c r="C2" i="18"/>
  <c r="B2" i="18"/>
  <c r="A2" i="18"/>
  <c r="R4" i="17"/>
  <c r="R5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112" i="17"/>
  <c r="R113" i="17"/>
  <c r="R114" i="17"/>
  <c r="R115" i="17"/>
  <c r="R116" i="17"/>
  <c r="R3" i="17"/>
  <c r="B115" i="17"/>
  <c r="B114" i="17"/>
  <c r="A114" i="17"/>
  <c r="A115" i="17"/>
  <c r="R4" i="16"/>
  <c r="R5" i="16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85" i="16"/>
  <c r="R86" i="16"/>
  <c r="R87" i="16"/>
  <c r="R88" i="16"/>
  <c r="R3" i="16"/>
  <c r="B87" i="16"/>
  <c r="B86" i="16"/>
  <c r="A86" i="16"/>
  <c r="A87" i="16"/>
  <c r="R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3" i="14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2" i="13"/>
  <c r="R83" i="13"/>
  <c r="R84" i="13"/>
  <c r="R85" i="13"/>
  <c r="R86" i="13"/>
  <c r="R87" i="13"/>
  <c r="R88" i="13"/>
  <c r="R89" i="13"/>
  <c r="R90" i="13"/>
  <c r="R91" i="13"/>
  <c r="R92" i="13"/>
  <c r="R93" i="13"/>
  <c r="R94" i="13"/>
  <c r="R96" i="13"/>
  <c r="R97" i="13"/>
  <c r="R3" i="13"/>
  <c r="R4" i="12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3" i="12"/>
  <c r="A107" i="12"/>
  <c r="B107" i="12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3" i="11"/>
  <c r="B123" i="11"/>
  <c r="A122" i="11"/>
  <c r="A123" i="11"/>
  <c r="B122" i="11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2" i="10"/>
  <c r="R113" i="10"/>
  <c r="R114" i="10"/>
  <c r="R115" i="10"/>
  <c r="R116" i="10"/>
  <c r="R117" i="10"/>
  <c r="R118" i="10"/>
  <c r="R119" i="10"/>
  <c r="R3" i="10"/>
  <c r="R125" i="18" l="1"/>
  <c r="A141" i="18"/>
  <c r="A130" i="18"/>
  <c r="C113" i="17" l="1"/>
  <c r="B113" i="17"/>
  <c r="A113" i="17"/>
  <c r="C112" i="17"/>
  <c r="B112" i="17"/>
  <c r="A112" i="17"/>
  <c r="C111" i="17"/>
  <c r="B111" i="17"/>
  <c r="A111" i="17"/>
  <c r="C110" i="17"/>
  <c r="B110" i="17"/>
  <c r="A110" i="17"/>
  <c r="C109" i="17"/>
  <c r="B109" i="17"/>
  <c r="A109" i="17"/>
  <c r="C108" i="17"/>
  <c r="B108" i="17"/>
  <c r="A108" i="17"/>
  <c r="C107" i="17"/>
  <c r="B107" i="17"/>
  <c r="A107" i="17"/>
  <c r="C106" i="17"/>
  <c r="B106" i="17"/>
  <c r="A106" i="17"/>
  <c r="C105" i="17"/>
  <c r="B105" i="17"/>
  <c r="A105" i="17"/>
  <c r="C104" i="17"/>
  <c r="B104" i="17"/>
  <c r="A104" i="17"/>
  <c r="C103" i="17"/>
  <c r="B103" i="17"/>
  <c r="A103" i="17"/>
  <c r="C102" i="17"/>
  <c r="B102" i="17"/>
  <c r="A102" i="17"/>
  <c r="C101" i="17"/>
  <c r="B101" i="17"/>
  <c r="A101" i="17"/>
  <c r="C100" i="17"/>
  <c r="B100" i="17"/>
  <c r="A100" i="17"/>
  <c r="C99" i="17"/>
  <c r="B99" i="17"/>
  <c r="A99" i="17"/>
  <c r="C98" i="17"/>
  <c r="B98" i="17"/>
  <c r="A98" i="17"/>
  <c r="C97" i="17"/>
  <c r="B97" i="17"/>
  <c r="A97" i="17"/>
  <c r="C96" i="17"/>
  <c r="B96" i="17"/>
  <c r="A96" i="17"/>
  <c r="C94" i="17"/>
  <c r="B94" i="17"/>
  <c r="A94" i="17"/>
  <c r="C93" i="17"/>
  <c r="B93" i="17"/>
  <c r="A93" i="17"/>
  <c r="C92" i="17"/>
  <c r="B92" i="17"/>
  <c r="A92" i="17"/>
  <c r="C91" i="17"/>
  <c r="B91" i="17"/>
  <c r="A91" i="17"/>
  <c r="C90" i="17"/>
  <c r="B90" i="17"/>
  <c r="A90" i="17"/>
  <c r="C89" i="17"/>
  <c r="B89" i="17"/>
  <c r="A89" i="17"/>
  <c r="C88" i="17"/>
  <c r="B88" i="17"/>
  <c r="A88" i="17"/>
  <c r="C87" i="17"/>
  <c r="B87" i="17"/>
  <c r="A87" i="17"/>
  <c r="C86" i="17"/>
  <c r="B86" i="17"/>
  <c r="A86" i="17"/>
  <c r="C85" i="17"/>
  <c r="B85" i="17"/>
  <c r="A85" i="17"/>
  <c r="C84" i="17"/>
  <c r="B84" i="17"/>
  <c r="A84" i="17"/>
  <c r="C83" i="17"/>
  <c r="B83" i="17"/>
  <c r="A83" i="17"/>
  <c r="C82" i="17"/>
  <c r="B82" i="17"/>
  <c r="A82" i="17"/>
  <c r="C81" i="17"/>
  <c r="B81" i="17"/>
  <c r="A81" i="17"/>
  <c r="C80" i="17"/>
  <c r="B80" i="17"/>
  <c r="A80" i="17"/>
  <c r="C79" i="17"/>
  <c r="B79" i="17"/>
  <c r="A79" i="17"/>
  <c r="C78" i="17"/>
  <c r="B78" i="17"/>
  <c r="A78" i="17"/>
  <c r="C77" i="17"/>
  <c r="B77" i="17"/>
  <c r="A77" i="17"/>
  <c r="C76" i="17"/>
  <c r="B76" i="17"/>
  <c r="A76" i="17"/>
  <c r="C75" i="17"/>
  <c r="B75" i="17"/>
  <c r="A75" i="17"/>
  <c r="C74" i="17"/>
  <c r="B74" i="17"/>
  <c r="A74" i="17"/>
  <c r="C73" i="17"/>
  <c r="B73" i="17"/>
  <c r="A73" i="17"/>
  <c r="C72" i="17"/>
  <c r="B72" i="17"/>
  <c r="A72" i="17"/>
  <c r="C71" i="17"/>
  <c r="B71" i="17"/>
  <c r="A71" i="17"/>
  <c r="C70" i="17"/>
  <c r="B70" i="17"/>
  <c r="A70" i="17"/>
  <c r="C69" i="17"/>
  <c r="B69" i="17"/>
  <c r="A69" i="17"/>
  <c r="C68" i="17"/>
  <c r="B68" i="17"/>
  <c r="A68" i="17"/>
  <c r="C67" i="17"/>
  <c r="B67" i="17"/>
  <c r="A67" i="17"/>
  <c r="C66" i="17"/>
  <c r="B66" i="17"/>
  <c r="A66" i="17"/>
  <c r="C65" i="17"/>
  <c r="B65" i="17"/>
  <c r="A65" i="17"/>
  <c r="C64" i="17"/>
  <c r="B64" i="17"/>
  <c r="A64" i="17"/>
  <c r="C63" i="17"/>
  <c r="B63" i="17"/>
  <c r="A63" i="17"/>
  <c r="C62" i="17"/>
  <c r="B62" i="17"/>
  <c r="A62" i="17"/>
  <c r="C61" i="17"/>
  <c r="B61" i="17"/>
  <c r="A61" i="17"/>
  <c r="C60" i="17"/>
  <c r="B60" i="17"/>
  <c r="A60" i="17"/>
  <c r="C59" i="17"/>
  <c r="B59" i="17"/>
  <c r="A59" i="17"/>
  <c r="C58" i="17"/>
  <c r="B58" i="17"/>
  <c r="A58" i="17"/>
  <c r="C57" i="17"/>
  <c r="B57" i="17"/>
  <c r="A57" i="17"/>
  <c r="C56" i="17"/>
  <c r="B56" i="17"/>
  <c r="A56" i="17"/>
  <c r="C55" i="17"/>
  <c r="B55" i="17"/>
  <c r="A55" i="17"/>
  <c r="C54" i="17"/>
  <c r="B54" i="17"/>
  <c r="A54" i="17"/>
  <c r="C53" i="17"/>
  <c r="B53" i="17"/>
  <c r="A53" i="17"/>
  <c r="C52" i="17"/>
  <c r="B52" i="17"/>
  <c r="A52" i="17"/>
  <c r="C51" i="17"/>
  <c r="B51" i="17"/>
  <c r="A51" i="17"/>
  <c r="C50" i="17"/>
  <c r="B50" i="17"/>
  <c r="A50" i="17"/>
  <c r="C49" i="17"/>
  <c r="B49" i="17"/>
  <c r="A49" i="17"/>
  <c r="C47" i="17"/>
  <c r="B47" i="17"/>
  <c r="A47" i="17"/>
  <c r="C46" i="17"/>
  <c r="B46" i="17"/>
  <c r="A46" i="17"/>
  <c r="C45" i="17"/>
  <c r="B45" i="17"/>
  <c r="A45" i="17"/>
  <c r="C44" i="17"/>
  <c r="B44" i="17"/>
  <c r="A44" i="17"/>
  <c r="C43" i="17"/>
  <c r="B43" i="17"/>
  <c r="A43" i="17"/>
  <c r="C42" i="17"/>
  <c r="B42" i="17"/>
  <c r="A42" i="17"/>
  <c r="C41" i="17"/>
  <c r="B41" i="17"/>
  <c r="A41" i="17"/>
  <c r="C40" i="17"/>
  <c r="B40" i="17"/>
  <c r="A40" i="17"/>
  <c r="C39" i="17"/>
  <c r="B39" i="17"/>
  <c r="A39" i="17"/>
  <c r="C38" i="17"/>
  <c r="B38" i="17"/>
  <c r="A38" i="17"/>
  <c r="C37" i="17"/>
  <c r="B37" i="17"/>
  <c r="A37" i="17"/>
  <c r="C36" i="17"/>
  <c r="B36" i="17"/>
  <c r="A36" i="17"/>
  <c r="C35" i="17"/>
  <c r="B35" i="17"/>
  <c r="A35" i="17"/>
  <c r="C34" i="17"/>
  <c r="B34" i="17"/>
  <c r="A34" i="17"/>
  <c r="C33" i="17"/>
  <c r="B33" i="17"/>
  <c r="A33" i="17"/>
  <c r="C32" i="17"/>
  <c r="B32" i="17"/>
  <c r="A32" i="17"/>
  <c r="C31" i="17"/>
  <c r="B31" i="17"/>
  <c r="A31" i="17"/>
  <c r="C30" i="17"/>
  <c r="B30" i="17"/>
  <c r="A30" i="17"/>
  <c r="C29" i="17"/>
  <c r="B29" i="17"/>
  <c r="A29" i="17"/>
  <c r="C28" i="17"/>
  <c r="B28" i="17"/>
  <c r="A28" i="17"/>
  <c r="C27" i="17"/>
  <c r="B27" i="17"/>
  <c r="A27" i="17"/>
  <c r="C26" i="17"/>
  <c r="B26" i="17"/>
  <c r="A26" i="17"/>
  <c r="C25" i="17"/>
  <c r="B25" i="17"/>
  <c r="A25" i="17"/>
  <c r="C24" i="17"/>
  <c r="B24" i="17"/>
  <c r="A24" i="17"/>
  <c r="C23" i="17"/>
  <c r="B23" i="17"/>
  <c r="A23" i="17"/>
  <c r="C22" i="17"/>
  <c r="B22" i="17"/>
  <c r="A22" i="17"/>
  <c r="C21" i="17"/>
  <c r="B21" i="17"/>
  <c r="A21" i="17"/>
  <c r="C20" i="17"/>
  <c r="B20" i="17"/>
  <c r="A20" i="17"/>
  <c r="C19" i="17"/>
  <c r="B19" i="17"/>
  <c r="A19" i="17"/>
  <c r="C18" i="17"/>
  <c r="B18" i="17"/>
  <c r="A18" i="17"/>
  <c r="C17" i="17"/>
  <c r="B17" i="17"/>
  <c r="A17" i="17"/>
  <c r="C16" i="17"/>
  <c r="B16" i="17"/>
  <c r="A16" i="17"/>
  <c r="C15" i="17"/>
  <c r="B15" i="17"/>
  <c r="A15" i="17"/>
  <c r="C14" i="17"/>
  <c r="B14" i="17"/>
  <c r="A14" i="17"/>
  <c r="C13" i="17"/>
  <c r="B13" i="17"/>
  <c r="A13" i="17"/>
  <c r="C12" i="17"/>
  <c r="B12" i="17"/>
  <c r="A12" i="17"/>
  <c r="C11" i="17"/>
  <c r="B11" i="17"/>
  <c r="A11" i="17"/>
  <c r="C10" i="17"/>
  <c r="B10" i="17"/>
  <c r="A10" i="17"/>
  <c r="C9" i="17"/>
  <c r="B9" i="17"/>
  <c r="A9" i="17"/>
  <c r="C8" i="17"/>
  <c r="B8" i="17"/>
  <c r="A8" i="17"/>
  <c r="C7" i="17"/>
  <c r="B7" i="17"/>
  <c r="A7" i="17"/>
  <c r="C6" i="17"/>
  <c r="B6" i="17"/>
  <c r="A6" i="17"/>
  <c r="C5" i="17"/>
  <c r="B5" i="17"/>
  <c r="A5" i="17"/>
  <c r="C4" i="17"/>
  <c r="B4" i="17"/>
  <c r="A4" i="17"/>
  <c r="C3" i="17"/>
  <c r="B3" i="17"/>
  <c r="A3" i="17"/>
  <c r="C85" i="16"/>
  <c r="B85" i="16"/>
  <c r="A85" i="16"/>
  <c r="C84" i="16"/>
  <c r="B84" i="16"/>
  <c r="A84" i="16"/>
  <c r="C83" i="16"/>
  <c r="B83" i="16"/>
  <c r="A83" i="16"/>
  <c r="C82" i="16"/>
  <c r="B82" i="16"/>
  <c r="A82" i="16"/>
  <c r="C81" i="16"/>
  <c r="B81" i="16"/>
  <c r="A81" i="16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C74" i="16"/>
  <c r="B74" i="16"/>
  <c r="A74" i="16"/>
  <c r="C73" i="16"/>
  <c r="B73" i="16"/>
  <c r="A73" i="16"/>
  <c r="C72" i="16"/>
  <c r="B72" i="16"/>
  <c r="A72" i="16"/>
  <c r="C71" i="16"/>
  <c r="B71" i="16"/>
  <c r="A71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C64" i="16"/>
  <c r="B64" i="16"/>
  <c r="A64" i="16"/>
  <c r="C63" i="16"/>
  <c r="B63" i="16"/>
  <c r="A63" i="16"/>
  <c r="C62" i="16"/>
  <c r="B62" i="16"/>
  <c r="A62" i="16"/>
  <c r="C61" i="16"/>
  <c r="B61" i="16"/>
  <c r="A61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C54" i="16"/>
  <c r="B54" i="16"/>
  <c r="A54" i="16"/>
  <c r="C53" i="16"/>
  <c r="B53" i="16"/>
  <c r="A53" i="16"/>
  <c r="C52" i="16"/>
  <c r="B52" i="16"/>
  <c r="A52" i="16"/>
  <c r="C51" i="16"/>
  <c r="B51" i="16"/>
  <c r="A51" i="16"/>
  <c r="C50" i="16"/>
  <c r="B50" i="16"/>
  <c r="A50" i="16"/>
  <c r="C49" i="16"/>
  <c r="B49" i="16"/>
  <c r="A49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C43" i="16"/>
  <c r="B43" i="16"/>
  <c r="A43" i="16"/>
  <c r="C42" i="16"/>
  <c r="B42" i="16"/>
  <c r="A42" i="16"/>
  <c r="C41" i="16"/>
  <c r="B41" i="16"/>
  <c r="A41" i="16"/>
  <c r="C40" i="16"/>
  <c r="B40" i="16"/>
  <c r="A40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C32" i="16"/>
  <c r="B32" i="16"/>
  <c r="A32" i="16"/>
  <c r="C31" i="16"/>
  <c r="B31" i="16"/>
  <c r="A31" i="16"/>
  <c r="C30" i="16"/>
  <c r="B30" i="16"/>
  <c r="A30" i="16"/>
  <c r="C29" i="16"/>
  <c r="B29" i="16"/>
  <c r="A29" i="16"/>
  <c r="C28" i="16"/>
  <c r="B28" i="16"/>
  <c r="A28" i="16"/>
  <c r="C27" i="16"/>
  <c r="B27" i="16"/>
  <c r="A27" i="16"/>
  <c r="C26" i="16"/>
  <c r="B26" i="16"/>
  <c r="A26" i="16"/>
  <c r="C25" i="16"/>
  <c r="B25" i="16"/>
  <c r="A25" i="16"/>
  <c r="C24" i="16"/>
  <c r="B24" i="16"/>
  <c r="A24" i="16"/>
  <c r="C23" i="16"/>
  <c r="B23" i="16"/>
  <c r="A23" i="16"/>
  <c r="C22" i="16"/>
  <c r="B22" i="16"/>
  <c r="A22" i="16"/>
  <c r="C21" i="16"/>
  <c r="B21" i="16"/>
  <c r="A21" i="16"/>
  <c r="C20" i="16"/>
  <c r="B20" i="16"/>
  <c r="A20" i="16"/>
  <c r="C19" i="16"/>
  <c r="B19" i="16"/>
  <c r="A19" i="16"/>
  <c r="C18" i="16"/>
  <c r="B18" i="16"/>
  <c r="A18" i="16"/>
  <c r="C17" i="16"/>
  <c r="B17" i="16"/>
  <c r="A17" i="16"/>
  <c r="C16" i="16"/>
  <c r="B16" i="16"/>
  <c r="A16" i="16"/>
  <c r="C15" i="16"/>
  <c r="B15" i="16"/>
  <c r="A15" i="16"/>
  <c r="C14" i="16"/>
  <c r="B14" i="16"/>
  <c r="A14" i="16"/>
  <c r="C13" i="16"/>
  <c r="B13" i="16"/>
  <c r="A13" i="16"/>
  <c r="C12" i="16"/>
  <c r="B12" i="16"/>
  <c r="A12" i="16"/>
  <c r="C11" i="16"/>
  <c r="B11" i="16"/>
  <c r="A11" i="16"/>
  <c r="C10" i="16"/>
  <c r="B10" i="16"/>
  <c r="A10" i="16"/>
  <c r="C9" i="16"/>
  <c r="B9" i="16"/>
  <c r="A9" i="16"/>
  <c r="C8" i="16"/>
  <c r="B8" i="16"/>
  <c r="A8" i="16"/>
  <c r="C7" i="16"/>
  <c r="B7" i="16"/>
  <c r="A7" i="16"/>
  <c r="C6" i="16"/>
  <c r="B6" i="16"/>
  <c r="A6" i="16"/>
  <c r="C5" i="16"/>
  <c r="B5" i="16"/>
  <c r="A5" i="16"/>
  <c r="C4" i="16"/>
  <c r="B4" i="16"/>
  <c r="A4" i="16"/>
  <c r="C3" i="16"/>
  <c r="B3" i="16"/>
  <c r="A3" i="16"/>
  <c r="C62" i="14"/>
  <c r="B62" i="14"/>
  <c r="A62" i="14"/>
  <c r="C61" i="14"/>
  <c r="B61" i="14"/>
  <c r="A61" i="14"/>
  <c r="C60" i="14"/>
  <c r="B60" i="14"/>
  <c r="A60" i="14"/>
  <c r="C59" i="14"/>
  <c r="B59" i="14"/>
  <c r="A59" i="14"/>
  <c r="C58" i="14"/>
  <c r="B58" i="14"/>
  <c r="A58" i="14"/>
  <c r="C57" i="14"/>
  <c r="B57" i="14"/>
  <c r="A57" i="14"/>
  <c r="C56" i="14"/>
  <c r="B56" i="14"/>
  <c r="A56" i="14"/>
  <c r="C55" i="14"/>
  <c r="B55" i="14"/>
  <c r="A55" i="14"/>
  <c r="C54" i="14"/>
  <c r="B54" i="14"/>
  <c r="A54" i="14"/>
  <c r="C53" i="14"/>
  <c r="B53" i="14"/>
  <c r="A53" i="14"/>
  <c r="C52" i="14"/>
  <c r="B52" i="14"/>
  <c r="A52" i="14"/>
  <c r="C51" i="14"/>
  <c r="B51" i="14"/>
  <c r="A51" i="14"/>
  <c r="C50" i="14"/>
  <c r="B50" i="14"/>
  <c r="A50" i="14"/>
  <c r="C49" i="14"/>
  <c r="B49" i="14"/>
  <c r="A49" i="14"/>
  <c r="C47" i="14"/>
  <c r="B47" i="14"/>
  <c r="A47" i="14"/>
  <c r="C46" i="14"/>
  <c r="B46" i="14"/>
  <c r="A46" i="14"/>
  <c r="C45" i="14"/>
  <c r="B45" i="14"/>
  <c r="A45" i="14"/>
  <c r="C44" i="14"/>
  <c r="B44" i="14"/>
  <c r="A44" i="14"/>
  <c r="C43" i="14"/>
  <c r="B43" i="14"/>
  <c r="A43" i="14"/>
  <c r="C42" i="14"/>
  <c r="B42" i="14"/>
  <c r="A42" i="14"/>
  <c r="C41" i="14"/>
  <c r="B41" i="14"/>
  <c r="A41" i="14"/>
  <c r="C40" i="14"/>
  <c r="B40" i="14"/>
  <c r="A40" i="14"/>
  <c r="C39" i="14"/>
  <c r="B39" i="14"/>
  <c r="A39" i="14"/>
  <c r="C38" i="14"/>
  <c r="B38" i="14"/>
  <c r="A38" i="14"/>
  <c r="C37" i="14"/>
  <c r="B37" i="14"/>
  <c r="A37" i="14"/>
  <c r="C36" i="14"/>
  <c r="B36" i="14"/>
  <c r="A36" i="14"/>
  <c r="C35" i="14"/>
  <c r="B35" i="14"/>
  <c r="A35" i="14"/>
  <c r="C34" i="14"/>
  <c r="B34" i="14"/>
  <c r="A34" i="14"/>
  <c r="C33" i="14"/>
  <c r="B33" i="14"/>
  <c r="A33" i="14"/>
  <c r="C32" i="14"/>
  <c r="B32" i="14"/>
  <c r="A32" i="14"/>
  <c r="C31" i="14"/>
  <c r="B31" i="14"/>
  <c r="A31" i="14"/>
  <c r="C30" i="14"/>
  <c r="B30" i="14"/>
  <c r="A30" i="14"/>
  <c r="C29" i="14"/>
  <c r="B29" i="14"/>
  <c r="A29" i="14"/>
  <c r="C28" i="14"/>
  <c r="B28" i="14"/>
  <c r="A28" i="14"/>
  <c r="C27" i="14"/>
  <c r="B27" i="14"/>
  <c r="A27" i="14"/>
  <c r="C26" i="14"/>
  <c r="B26" i="14"/>
  <c r="A26" i="14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C17" i="14"/>
  <c r="B17" i="14"/>
  <c r="A17" i="14"/>
  <c r="C16" i="14"/>
  <c r="B16" i="14"/>
  <c r="A16" i="14"/>
  <c r="C15" i="14"/>
  <c r="B15" i="14"/>
  <c r="A15" i="14"/>
  <c r="C14" i="14"/>
  <c r="B14" i="14"/>
  <c r="A14" i="14"/>
  <c r="C13" i="14"/>
  <c r="B13" i="14"/>
  <c r="A13" i="14"/>
  <c r="C12" i="14"/>
  <c r="B12" i="14"/>
  <c r="A12" i="14"/>
  <c r="C11" i="14"/>
  <c r="B11" i="14"/>
  <c r="A11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3" i="14"/>
  <c r="B3" i="14"/>
  <c r="A3" i="14"/>
  <c r="C97" i="13"/>
  <c r="B97" i="13"/>
  <c r="A97" i="13"/>
  <c r="C96" i="13"/>
  <c r="B96" i="13"/>
  <c r="A96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C88" i="13"/>
  <c r="B88" i="13"/>
  <c r="A88" i="13"/>
  <c r="C87" i="13"/>
  <c r="B87" i="13"/>
  <c r="A87" i="13"/>
  <c r="C86" i="13"/>
  <c r="B86" i="13"/>
  <c r="A86" i="13"/>
  <c r="C85" i="13"/>
  <c r="B85" i="13"/>
  <c r="A85" i="13"/>
  <c r="C84" i="13"/>
  <c r="B84" i="13"/>
  <c r="A84" i="13"/>
  <c r="C83" i="13"/>
  <c r="B83" i="13"/>
  <c r="A83" i="13"/>
  <c r="C82" i="13"/>
  <c r="B82" i="13"/>
  <c r="A82" i="13"/>
  <c r="C81" i="13"/>
  <c r="B81" i="13"/>
  <c r="A81" i="13"/>
  <c r="C80" i="13"/>
  <c r="B80" i="13"/>
  <c r="A80" i="13"/>
  <c r="C79" i="13"/>
  <c r="B79" i="13"/>
  <c r="A79" i="13"/>
  <c r="C78" i="13"/>
  <c r="B78" i="13"/>
  <c r="A78" i="13"/>
  <c r="C77" i="13"/>
  <c r="B77" i="13"/>
  <c r="A77" i="13"/>
  <c r="C76" i="13"/>
  <c r="B76" i="13"/>
  <c r="A76" i="13"/>
  <c r="C75" i="13"/>
  <c r="B75" i="13"/>
  <c r="A75" i="13"/>
  <c r="C74" i="13"/>
  <c r="B74" i="13"/>
  <c r="A74" i="13"/>
  <c r="C73" i="13"/>
  <c r="B73" i="13"/>
  <c r="A73" i="13"/>
  <c r="C72" i="13"/>
  <c r="B72" i="13"/>
  <c r="A72" i="13"/>
  <c r="C71" i="13"/>
  <c r="B71" i="13"/>
  <c r="A71" i="13"/>
  <c r="C70" i="13"/>
  <c r="B70" i="13"/>
  <c r="A70" i="13"/>
  <c r="C69" i="13"/>
  <c r="B69" i="13"/>
  <c r="A69" i="13"/>
  <c r="C68" i="13"/>
  <c r="B68" i="13"/>
  <c r="A68" i="13"/>
  <c r="C67" i="13"/>
  <c r="B67" i="13"/>
  <c r="A67" i="13"/>
  <c r="C66" i="13"/>
  <c r="B66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C55" i="13"/>
  <c r="B55" i="13"/>
  <c r="A55" i="13"/>
  <c r="C54" i="13"/>
  <c r="B54" i="13"/>
  <c r="A54" i="13"/>
  <c r="C53" i="13"/>
  <c r="B53" i="13"/>
  <c r="A53" i="13"/>
  <c r="C52" i="13"/>
  <c r="B52" i="13"/>
  <c r="A52" i="13"/>
  <c r="C51" i="13"/>
  <c r="B51" i="13"/>
  <c r="A51" i="13"/>
  <c r="C50" i="13"/>
  <c r="B50" i="13"/>
  <c r="A50" i="13"/>
  <c r="C49" i="13"/>
  <c r="B49" i="13"/>
  <c r="A49" i="13"/>
  <c r="C47" i="13"/>
  <c r="B47" i="13"/>
  <c r="A47" i="13"/>
  <c r="C46" i="13"/>
  <c r="B46" i="13"/>
  <c r="A46" i="13"/>
  <c r="C45" i="13"/>
  <c r="B45" i="13"/>
  <c r="A45" i="13"/>
  <c r="C44" i="13"/>
  <c r="B44" i="13"/>
  <c r="A44" i="13"/>
  <c r="C43" i="13"/>
  <c r="B43" i="13"/>
  <c r="A43" i="13"/>
  <c r="C42" i="13"/>
  <c r="B42" i="13"/>
  <c r="A42" i="13"/>
  <c r="C41" i="13"/>
  <c r="B41" i="13"/>
  <c r="A41" i="13"/>
  <c r="C40" i="13"/>
  <c r="B40" i="13"/>
  <c r="A40" i="13"/>
  <c r="C39" i="13"/>
  <c r="B39" i="13"/>
  <c r="A39" i="13"/>
  <c r="C38" i="13"/>
  <c r="B38" i="13"/>
  <c r="A38" i="13"/>
  <c r="C37" i="13"/>
  <c r="B37" i="13"/>
  <c r="A37" i="13"/>
  <c r="C36" i="13"/>
  <c r="B36" i="13"/>
  <c r="A36" i="13"/>
  <c r="C35" i="13"/>
  <c r="B35" i="13"/>
  <c r="A35" i="13"/>
  <c r="C34" i="13"/>
  <c r="B34" i="13"/>
  <c r="A34" i="13"/>
  <c r="C33" i="13"/>
  <c r="B33" i="13"/>
  <c r="A33" i="13"/>
  <c r="C32" i="13"/>
  <c r="B32" i="13"/>
  <c r="A32" i="13"/>
  <c r="C31" i="13"/>
  <c r="B31" i="13"/>
  <c r="A31" i="13"/>
  <c r="C30" i="13"/>
  <c r="B30" i="13"/>
  <c r="A30" i="13"/>
  <c r="C29" i="13"/>
  <c r="B29" i="13"/>
  <c r="A29" i="13"/>
  <c r="C28" i="13"/>
  <c r="B28" i="13"/>
  <c r="A28" i="13"/>
  <c r="C27" i="13"/>
  <c r="B27" i="13"/>
  <c r="A27" i="13"/>
  <c r="C26" i="13"/>
  <c r="B26" i="13"/>
  <c r="A26" i="13"/>
  <c r="C25" i="13"/>
  <c r="B25" i="13"/>
  <c r="A25" i="13"/>
  <c r="C24" i="13"/>
  <c r="B24" i="13"/>
  <c r="A24" i="13"/>
  <c r="C23" i="13"/>
  <c r="B23" i="13"/>
  <c r="A23" i="13"/>
  <c r="C22" i="13"/>
  <c r="B22" i="13"/>
  <c r="A22" i="13"/>
  <c r="C21" i="13"/>
  <c r="B21" i="13"/>
  <c r="A21" i="13"/>
  <c r="C20" i="13"/>
  <c r="B20" i="13"/>
  <c r="A20" i="13"/>
  <c r="C19" i="13"/>
  <c r="B19" i="13"/>
  <c r="A19" i="13"/>
  <c r="C18" i="13"/>
  <c r="B18" i="13"/>
  <c r="A18" i="13"/>
  <c r="C17" i="13"/>
  <c r="B17" i="13"/>
  <c r="A17" i="13"/>
  <c r="C16" i="13"/>
  <c r="B16" i="13"/>
  <c r="A16" i="13"/>
  <c r="C15" i="13"/>
  <c r="B15" i="13"/>
  <c r="A15" i="13"/>
  <c r="C14" i="13"/>
  <c r="B14" i="13"/>
  <c r="A14" i="13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" i="10"/>
  <c r="B3" i="10"/>
  <c r="A3" i="10"/>
</calcChain>
</file>

<file path=xl/sharedStrings.xml><?xml version="1.0" encoding="utf-8"?>
<sst xmlns="http://schemas.openxmlformats.org/spreadsheetml/2006/main" count="605" uniqueCount="78">
  <si>
    <t>系級</t>
  </si>
  <si>
    <t>學號</t>
  </si>
  <si>
    <t>中文姓名</t>
  </si>
  <si>
    <t>總計</t>
    <phoneticPr fontId="1" type="noConversion"/>
  </si>
  <si>
    <t>10/1</t>
    <phoneticPr fontId="1" type="noConversion"/>
  </si>
  <si>
    <t>10/2</t>
    <phoneticPr fontId="1" type="noConversion"/>
  </si>
  <si>
    <t>10/3</t>
    <phoneticPr fontId="1" type="noConversion"/>
  </si>
  <si>
    <t>10/7</t>
    <phoneticPr fontId="1" type="noConversion"/>
  </si>
  <si>
    <t>10/8</t>
    <phoneticPr fontId="1" type="noConversion"/>
  </si>
  <si>
    <t>10/9</t>
    <phoneticPr fontId="1" type="noConversion"/>
  </si>
  <si>
    <t>10/14</t>
    <phoneticPr fontId="1" type="noConversion"/>
  </si>
  <si>
    <t>10/15</t>
    <phoneticPr fontId="1" type="noConversion"/>
  </si>
  <si>
    <t>10/16</t>
    <phoneticPr fontId="1" type="noConversion"/>
  </si>
  <si>
    <t>10/17</t>
    <phoneticPr fontId="1" type="noConversion"/>
  </si>
  <si>
    <t>10/21</t>
    <phoneticPr fontId="1" type="noConversion"/>
  </si>
  <si>
    <t>10/22</t>
    <phoneticPr fontId="1" type="noConversion"/>
  </si>
  <si>
    <t>10/28</t>
    <phoneticPr fontId="1" type="noConversion"/>
  </si>
  <si>
    <t>9/30</t>
    <phoneticPr fontId="1" type="noConversion"/>
  </si>
  <si>
    <t>11/21</t>
    <phoneticPr fontId="1" type="noConversion"/>
  </si>
  <si>
    <t>11/25</t>
    <phoneticPr fontId="1" type="noConversion"/>
  </si>
  <si>
    <t>12/2</t>
    <phoneticPr fontId="1" type="noConversion"/>
  </si>
  <si>
    <t>12/3</t>
    <phoneticPr fontId="1" type="noConversion"/>
  </si>
  <si>
    <t>12/4</t>
    <phoneticPr fontId="1" type="noConversion"/>
  </si>
  <si>
    <t>12/5</t>
    <phoneticPr fontId="1" type="noConversion"/>
  </si>
  <si>
    <t>12/9</t>
    <phoneticPr fontId="1" type="noConversion"/>
  </si>
  <si>
    <t>12/10</t>
    <phoneticPr fontId="1" type="noConversion"/>
  </si>
  <si>
    <t>12/11</t>
    <phoneticPr fontId="1" type="noConversion"/>
  </si>
  <si>
    <t>12/12</t>
    <phoneticPr fontId="1" type="noConversion"/>
  </si>
  <si>
    <t>12/16</t>
    <phoneticPr fontId="1" type="noConversion"/>
  </si>
  <si>
    <t>12/17</t>
    <phoneticPr fontId="1" type="noConversion"/>
  </si>
  <si>
    <t>12/18</t>
    <phoneticPr fontId="1" type="noConversion"/>
  </si>
  <si>
    <t>11/26</t>
    <phoneticPr fontId="1" type="noConversion"/>
  </si>
  <si>
    <t>10/1</t>
  </si>
  <si>
    <t>10/2</t>
  </si>
  <si>
    <t>10/3</t>
  </si>
  <si>
    <t>10/4</t>
  </si>
  <si>
    <t>10/8</t>
  </si>
  <si>
    <t>10/9</t>
  </si>
  <si>
    <t>10/11</t>
  </si>
  <si>
    <t>10/15</t>
  </si>
  <si>
    <t>10/16</t>
  </si>
  <si>
    <t>10/22</t>
  </si>
  <si>
    <t>10/23</t>
  </si>
  <si>
    <t>10/24</t>
  </si>
  <si>
    <t>10/25</t>
  </si>
  <si>
    <t>10/29</t>
  </si>
  <si>
    <t>總計</t>
  </si>
  <si>
    <t>光電與材料科技學系</t>
  </si>
  <si>
    <t>生命科學暨生物科技學系</t>
  </si>
  <si>
    <t>出席總人數</t>
  </si>
  <si>
    <t>系別</t>
  </si>
  <si>
    <t>出席總人數(人)</t>
  </si>
  <si>
    <t>出席總次數(次)</t>
  </si>
  <si>
    <t>1071-1化學會考各系平均統計</t>
    <phoneticPr fontId="1" type="noConversion"/>
  </si>
  <si>
    <t>生科/馬祖生科</t>
    <phoneticPr fontId="1" type="noConversion"/>
  </si>
  <si>
    <t>食科</t>
  </si>
  <si>
    <t>海洋環魚</t>
    <phoneticPr fontId="1" type="noConversion"/>
  </si>
  <si>
    <t>輪機</t>
  </si>
  <si>
    <t>養殖</t>
  </si>
  <si>
    <t>機械</t>
    <phoneticPr fontId="1" type="noConversion"/>
  </si>
  <si>
    <t>光電馬祖海工</t>
    <phoneticPr fontId="1" type="noConversion"/>
  </si>
  <si>
    <t>全校</t>
  </si>
  <si>
    <t>食品科學系</t>
  </si>
  <si>
    <t>平均分數</t>
  </si>
  <si>
    <t>輪機系</t>
  </si>
  <si>
    <t>補強次數</t>
    <phoneticPr fontId="1" type="noConversion"/>
  </si>
  <si>
    <t>機械系</t>
  </si>
  <si>
    <t>海洋環漁</t>
  </si>
  <si>
    <t>總和</t>
  </si>
  <si>
    <t>班級名稱</t>
  </si>
  <si>
    <t>各班修課總人數(人)</t>
  </si>
  <si>
    <t>鎮文禮</t>
    <phoneticPr fontId="1" type="noConversion"/>
  </si>
  <si>
    <t>邱政凱</t>
    <phoneticPr fontId="1" type="noConversion"/>
  </si>
  <si>
    <t>林昀</t>
    <phoneticPr fontId="1" type="noConversion"/>
  </si>
  <si>
    <t>蕭敏</t>
    <phoneticPr fontId="1" type="noConversion"/>
  </si>
  <si>
    <t>黃熙媛</t>
    <phoneticPr fontId="1" type="noConversion"/>
  </si>
  <si>
    <t>郭靜宜</t>
    <phoneticPr fontId="1" type="noConversion"/>
  </si>
  <si>
    <t>宋承畏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</si>
</sst>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rgb="FF000000"/>
      <name val="新細明體"/>
      <family val="2"/>
      <charset val="136"/>
    </font>
    <font>
      <sz val="11"/>
      <color rgb="FF000000"/>
      <name val="新細明體"/>
      <family val="1"/>
      <charset val="136"/>
    </font>
    <font>
      <sz val="12"/>
      <color rgb="FFCE181E"/>
      <name val="新細明體"/>
      <family val="1"/>
      <charset val="136"/>
    </font>
    <font>
      <sz val="12"/>
      <color rgb="FFFFF200"/>
      <name val="新細明體"/>
      <family val="1"/>
      <charset val="136"/>
    </font>
    <font>
      <sz val="12"/>
      <color rgb="FF8F187C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ED1C24"/>
      <name val="新細明體"/>
      <family val="1"/>
      <charset val="136"/>
    </font>
    <font>
      <sz val="12"/>
      <color rgb="FFFF6600"/>
      <name val="新細明體"/>
      <family val="1"/>
      <charset val="136"/>
    </font>
    <font>
      <sz val="8"/>
      <color theme="1"/>
      <name val="新細明體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F45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2" fillId="0" borderId="1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49" fontId="0" fillId="0" borderId="1" xfId="0" applyNumberFormat="1" applyFont="1" applyBorder="1">
      <alignment vertical="center"/>
    </xf>
    <xf numFmtId="49" fontId="4" fillId="0" borderId="1" xfId="0" applyNumberFormat="1" applyFont="1" applyBorder="1">
      <alignment vertical="center"/>
    </xf>
    <xf numFmtId="49" fontId="5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8F45C7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19"/>
  <sheetViews>
    <sheetView view="pageLayout" zoomScale="118" zoomScaleNormal="64" zoomScalePageLayoutView="118" workbookViewId="0">
      <selection activeCell="A3" sqref="A3:R119"/>
    </sheetView>
  </sheetViews>
  <sheetFormatPr defaultColWidth="8.77734375" defaultRowHeight="16.2" x14ac:dyDescent="0.3"/>
  <cols>
    <col min="1" max="1" width="6.109375" style="2" customWidth="1"/>
    <col min="2" max="2" width="8.77734375" style="2"/>
    <col min="3" max="3" width="8" style="2" customWidth="1"/>
    <col min="4" max="18" width="4.6640625" style="2" customWidth="1"/>
    <col min="19" max="16384" width="8.77734375" style="2"/>
  </cols>
  <sheetData>
    <row r="2" spans="1:18" x14ac:dyDescent="0.3">
      <c r="A2" s="2" t="s">
        <v>0</v>
      </c>
      <c r="B2" s="2" t="s">
        <v>1</v>
      </c>
      <c r="C2" s="2" t="s">
        <v>2</v>
      </c>
      <c r="D2" s="3" t="s">
        <v>18</v>
      </c>
      <c r="E2" s="4" t="s">
        <v>19</v>
      </c>
      <c r="F2" s="4" t="s">
        <v>31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 t="s">
        <v>27</v>
      </c>
      <c r="O2" s="4" t="s">
        <v>28</v>
      </c>
      <c r="P2" s="4" t="s">
        <v>29</v>
      </c>
      <c r="Q2" s="4" t="s">
        <v>30</v>
      </c>
      <c r="R2" s="1" t="s">
        <v>3</v>
      </c>
    </row>
    <row r="3" spans="1:18" x14ac:dyDescent="0.3">
      <c r="A3" s="2" t="str">
        <f>"食品科學系生物科技組"</f>
        <v>食品科學系生物科技組</v>
      </c>
      <c r="B3" s="2" t="str">
        <f>"0053A004"</f>
        <v>0053A004</v>
      </c>
      <c r="C3" s="2" t="str">
        <f>"許宏銘"</f>
        <v>許宏銘</v>
      </c>
      <c r="R3" s="2">
        <f>SUM(D3:Q3)</f>
        <v>0</v>
      </c>
    </row>
    <row r="4" spans="1:18" x14ac:dyDescent="0.3">
      <c r="A4" s="2" t="str">
        <f>"輪機工程學系能源應用組"</f>
        <v>輪機工程學系能源應用組</v>
      </c>
      <c r="B4" s="2" t="str">
        <f>"0056A212"</f>
        <v>0056A212</v>
      </c>
      <c r="C4" s="2" t="str">
        <f>"林媺倢"</f>
        <v>林媺倢</v>
      </c>
      <c r="R4" s="2">
        <f t="shared" ref="R4:R67" si="0">SUM(D4:Q4)</f>
        <v>0</v>
      </c>
    </row>
    <row r="5" spans="1:18" x14ac:dyDescent="0.3">
      <c r="A5" s="2" t="str">
        <f>"輪機工程學系動力工程組"</f>
        <v>輪機工程學系動力工程組</v>
      </c>
      <c r="B5" s="2" t="str">
        <f>"0056D025"</f>
        <v>0056D025</v>
      </c>
      <c r="C5" s="2" t="str">
        <f>"蘇庭寬"</f>
        <v>蘇庭寬</v>
      </c>
      <c r="R5" s="2">
        <f t="shared" si="0"/>
        <v>0</v>
      </c>
    </row>
    <row r="6" spans="1:18" x14ac:dyDescent="0.3">
      <c r="A6" s="2" t="str">
        <f>"水產養殖學系"</f>
        <v>水產養殖學系</v>
      </c>
      <c r="B6" s="2" t="str">
        <f>"00633027"</f>
        <v>00633027</v>
      </c>
      <c r="C6" s="2" t="str">
        <f>"郭晏如"</f>
        <v>郭晏如</v>
      </c>
      <c r="R6" s="2">
        <f t="shared" si="0"/>
        <v>0</v>
      </c>
    </row>
    <row r="7" spans="1:18" x14ac:dyDescent="0.3">
      <c r="A7" s="2" t="str">
        <f>"水產養殖學系"</f>
        <v>水產養殖學系</v>
      </c>
      <c r="B7" s="2" t="str">
        <f>"00633210"</f>
        <v>00633210</v>
      </c>
      <c r="C7" s="2" t="str">
        <f>"詹森"</f>
        <v>詹森</v>
      </c>
      <c r="R7" s="2">
        <f t="shared" si="0"/>
        <v>0</v>
      </c>
    </row>
    <row r="8" spans="1:18" x14ac:dyDescent="0.3">
      <c r="A8" s="2" t="str">
        <f>"水產養殖學系"</f>
        <v>水產養殖學系</v>
      </c>
      <c r="B8" s="2" t="str">
        <f>"00633211"</f>
        <v>00633211</v>
      </c>
      <c r="C8" s="2" t="str">
        <f>"雷鈞合"</f>
        <v>雷鈞合</v>
      </c>
      <c r="R8" s="2">
        <f t="shared" si="0"/>
        <v>0</v>
      </c>
    </row>
    <row r="9" spans="1:18" x14ac:dyDescent="0.3">
      <c r="A9" s="2" t="str">
        <f>"輪機工程學系動力工程組"</f>
        <v>輪機工程學系動力工程組</v>
      </c>
      <c r="B9" s="2" t="str">
        <f>"0066D025"</f>
        <v>0066D025</v>
      </c>
      <c r="C9" s="2" t="str">
        <f>"許豈銓"</f>
        <v>許豈銓</v>
      </c>
      <c r="R9" s="2">
        <f t="shared" si="0"/>
        <v>0</v>
      </c>
    </row>
    <row r="10" spans="1:18" x14ac:dyDescent="0.3">
      <c r="A10" s="2" t="str">
        <f>"水產養殖學系"</f>
        <v>水產養殖學系</v>
      </c>
      <c r="B10" s="2" t="str">
        <f>"00733206"</f>
        <v>00733206</v>
      </c>
      <c r="C10" s="2" t="str">
        <f>"銀維謙"</f>
        <v>銀維謙</v>
      </c>
      <c r="R10" s="2">
        <f t="shared" si="0"/>
        <v>0</v>
      </c>
    </row>
    <row r="11" spans="1:18" x14ac:dyDescent="0.3">
      <c r="A11" s="2" t="str">
        <f>"水產養殖學系"</f>
        <v>水產養殖學系</v>
      </c>
      <c r="B11" s="2" t="str">
        <f>"00733210"</f>
        <v>00733210</v>
      </c>
      <c r="C11" s="2" t="str">
        <f>"王亮崴"</f>
        <v>王亮崴</v>
      </c>
      <c r="R11" s="2">
        <f t="shared" si="0"/>
        <v>0</v>
      </c>
    </row>
    <row r="12" spans="1:18" x14ac:dyDescent="0.3">
      <c r="A12" s="2" t="str">
        <f>"食品科學系食品科學組"</f>
        <v>食品科學系食品科學組</v>
      </c>
      <c r="B12" s="2" t="str">
        <f>"00739016"</f>
        <v>00739016</v>
      </c>
      <c r="C12" s="2" t="str">
        <f>"許珊華"</f>
        <v>許珊華</v>
      </c>
      <c r="R12" s="2">
        <f t="shared" si="0"/>
        <v>0</v>
      </c>
    </row>
    <row r="13" spans="1:18" x14ac:dyDescent="0.3">
      <c r="A13" s="2" t="str">
        <f>"食品科學系食品科學組"</f>
        <v>食品科學系食品科學組</v>
      </c>
      <c r="B13" s="2" t="str">
        <f>"00739039"</f>
        <v>00739039</v>
      </c>
      <c r="C13" s="2" t="str">
        <f>"陳亞蔓"</f>
        <v>陳亞蔓</v>
      </c>
      <c r="R13" s="2">
        <f t="shared" si="0"/>
        <v>0</v>
      </c>
    </row>
    <row r="14" spans="1:18" x14ac:dyDescent="0.3">
      <c r="A14" s="2" t="str">
        <f>"機械與機電工程學系"</f>
        <v>機械與機電工程學系</v>
      </c>
      <c r="B14" s="2" t="str">
        <f>"00752030"</f>
        <v>00752030</v>
      </c>
      <c r="C14" s="2" t="str">
        <f>"張寶文"</f>
        <v>張寶文</v>
      </c>
      <c r="R14" s="2">
        <f t="shared" si="0"/>
        <v>0</v>
      </c>
    </row>
    <row r="15" spans="1:18" x14ac:dyDescent="0.3">
      <c r="A15" s="2" t="str">
        <f>"機械與機電工程學系"</f>
        <v>機械與機電工程學系</v>
      </c>
      <c r="B15" s="2" t="str">
        <f>"00772114"</f>
        <v>00772114</v>
      </c>
      <c r="C15" s="2" t="str">
        <f>"劉宸佑"</f>
        <v>劉宸佑</v>
      </c>
      <c r="R15" s="2">
        <f t="shared" si="0"/>
        <v>0</v>
      </c>
    </row>
    <row r="16" spans="1:18" x14ac:dyDescent="0.3">
      <c r="A16" s="2" t="str">
        <f t="shared" ref="A16:A80" si="1">"水產養殖學系"</f>
        <v>水產養殖學系</v>
      </c>
      <c r="B16" s="2" t="str">
        <f>"00833001"</f>
        <v>00833001</v>
      </c>
      <c r="C16" s="2" t="str">
        <f>"張秉家"</f>
        <v>張秉家</v>
      </c>
      <c r="R16" s="2">
        <f t="shared" si="0"/>
        <v>0</v>
      </c>
    </row>
    <row r="17" spans="1:18" x14ac:dyDescent="0.3">
      <c r="A17" s="2" t="str">
        <f t="shared" si="1"/>
        <v>水產養殖學系</v>
      </c>
      <c r="B17" s="2" t="str">
        <f>"00833002"</f>
        <v>00833002</v>
      </c>
      <c r="C17" s="2" t="str">
        <f>"鄭恩霖"</f>
        <v>鄭恩霖</v>
      </c>
      <c r="R17" s="2">
        <f t="shared" si="0"/>
        <v>0</v>
      </c>
    </row>
    <row r="18" spans="1:18" x14ac:dyDescent="0.3">
      <c r="A18" s="2" t="str">
        <f t="shared" si="1"/>
        <v>水產養殖學系</v>
      </c>
      <c r="B18" s="2" t="str">
        <f>"00833003"</f>
        <v>00833003</v>
      </c>
      <c r="C18" s="2" t="str">
        <f>"宋青衿"</f>
        <v>宋青衿</v>
      </c>
      <c r="R18" s="2">
        <f t="shared" si="0"/>
        <v>0</v>
      </c>
    </row>
    <row r="19" spans="1:18" x14ac:dyDescent="0.3">
      <c r="A19" s="2" t="str">
        <f t="shared" si="1"/>
        <v>水產養殖學系</v>
      </c>
      <c r="B19" s="2" t="str">
        <f>"00833004"</f>
        <v>00833004</v>
      </c>
      <c r="C19" s="2" t="str">
        <f>"葉育儒"</f>
        <v>葉育儒</v>
      </c>
      <c r="R19" s="2">
        <f t="shared" si="0"/>
        <v>0</v>
      </c>
    </row>
    <row r="20" spans="1:18" x14ac:dyDescent="0.3">
      <c r="A20" s="2" t="str">
        <f t="shared" si="1"/>
        <v>水產養殖學系</v>
      </c>
      <c r="B20" s="2" t="str">
        <f>"00833005"</f>
        <v>00833005</v>
      </c>
      <c r="C20" s="2" t="str">
        <f>"楊明達"</f>
        <v>楊明達</v>
      </c>
      <c r="R20" s="2">
        <f t="shared" si="0"/>
        <v>0</v>
      </c>
    </row>
    <row r="21" spans="1:18" x14ac:dyDescent="0.3">
      <c r="A21" s="2" t="str">
        <f t="shared" si="1"/>
        <v>水產養殖學系</v>
      </c>
      <c r="B21" s="2" t="str">
        <f>"00833006"</f>
        <v>00833006</v>
      </c>
      <c r="C21" s="2" t="str">
        <f>"曾培哲"</f>
        <v>曾培哲</v>
      </c>
      <c r="F21" s="2">
        <v>1</v>
      </c>
      <c r="J21" s="2">
        <v>1</v>
      </c>
      <c r="M21" s="2">
        <v>1</v>
      </c>
      <c r="R21" s="2">
        <f t="shared" si="0"/>
        <v>3</v>
      </c>
    </row>
    <row r="22" spans="1:18" x14ac:dyDescent="0.3">
      <c r="A22" s="2" t="str">
        <f t="shared" si="1"/>
        <v>水產養殖學系</v>
      </c>
      <c r="B22" s="2" t="str">
        <f>"00833007"</f>
        <v>00833007</v>
      </c>
      <c r="C22" s="2" t="str">
        <f>"葛益汝"</f>
        <v>葛益汝</v>
      </c>
      <c r="F22" s="2">
        <v>1</v>
      </c>
      <c r="R22" s="2">
        <f t="shared" si="0"/>
        <v>1</v>
      </c>
    </row>
    <row r="23" spans="1:18" x14ac:dyDescent="0.3">
      <c r="A23" s="2" t="str">
        <f t="shared" si="1"/>
        <v>水產養殖學系</v>
      </c>
      <c r="B23" s="2" t="str">
        <f>"00833008"</f>
        <v>00833008</v>
      </c>
      <c r="C23" s="2" t="str">
        <f>"林?丞"</f>
        <v>林?丞</v>
      </c>
      <c r="R23" s="2">
        <f t="shared" si="0"/>
        <v>0</v>
      </c>
    </row>
    <row r="24" spans="1:18" x14ac:dyDescent="0.3">
      <c r="A24" s="2" t="str">
        <f t="shared" si="1"/>
        <v>水產養殖學系</v>
      </c>
      <c r="B24" s="2" t="str">
        <f>"00833009"</f>
        <v>00833009</v>
      </c>
      <c r="C24" s="2" t="str">
        <f>"陳道威"</f>
        <v>陳道威</v>
      </c>
      <c r="R24" s="2">
        <f t="shared" si="0"/>
        <v>0</v>
      </c>
    </row>
    <row r="25" spans="1:18" x14ac:dyDescent="0.3">
      <c r="A25" s="2" t="str">
        <f t="shared" si="1"/>
        <v>水產養殖學系</v>
      </c>
      <c r="B25" s="2" t="str">
        <f>"00833010"</f>
        <v>00833010</v>
      </c>
      <c r="C25" s="2" t="str">
        <f>"孫邦"</f>
        <v>孫邦</v>
      </c>
      <c r="R25" s="2">
        <f t="shared" si="0"/>
        <v>0</v>
      </c>
    </row>
    <row r="26" spans="1:18" x14ac:dyDescent="0.3">
      <c r="A26" s="2" t="str">
        <f t="shared" si="1"/>
        <v>水產養殖學系</v>
      </c>
      <c r="B26" s="2" t="str">
        <f>"00833011"</f>
        <v>00833011</v>
      </c>
      <c r="C26" s="2" t="str">
        <f>"沈志宸"</f>
        <v>沈志宸</v>
      </c>
      <c r="R26" s="2">
        <f t="shared" si="0"/>
        <v>0</v>
      </c>
    </row>
    <row r="27" spans="1:18" x14ac:dyDescent="0.3">
      <c r="A27" s="2" t="str">
        <f t="shared" si="1"/>
        <v>水產養殖學系</v>
      </c>
      <c r="B27" s="2" t="str">
        <f>"00833012"</f>
        <v>00833012</v>
      </c>
      <c r="C27" s="2" t="str">
        <f>"黃翊淮"</f>
        <v>黃翊淮</v>
      </c>
      <c r="R27" s="2">
        <f t="shared" si="0"/>
        <v>0</v>
      </c>
    </row>
    <row r="28" spans="1:18" x14ac:dyDescent="0.3">
      <c r="A28" s="2" t="str">
        <f t="shared" si="1"/>
        <v>水產養殖學系</v>
      </c>
      <c r="B28" s="2" t="str">
        <f>"00833013"</f>
        <v>00833013</v>
      </c>
      <c r="C28" s="2" t="str">
        <f>"吳晁萱"</f>
        <v>吳晁萱</v>
      </c>
      <c r="R28" s="2">
        <f t="shared" si="0"/>
        <v>0</v>
      </c>
    </row>
    <row r="29" spans="1:18" x14ac:dyDescent="0.3">
      <c r="A29" s="2" t="str">
        <f t="shared" si="1"/>
        <v>水產養殖學系</v>
      </c>
      <c r="B29" s="2" t="str">
        <f>"00833014"</f>
        <v>00833014</v>
      </c>
      <c r="C29" s="2" t="str">
        <f>"劉思辰"</f>
        <v>劉思辰</v>
      </c>
      <c r="R29" s="2">
        <f t="shared" si="0"/>
        <v>0</v>
      </c>
    </row>
    <row r="30" spans="1:18" x14ac:dyDescent="0.3">
      <c r="A30" s="2" t="str">
        <f t="shared" si="1"/>
        <v>水產養殖學系</v>
      </c>
      <c r="B30" s="2" t="str">
        <f>"00833015"</f>
        <v>00833015</v>
      </c>
      <c r="C30" s="2" t="str">
        <f>"華立祥"</f>
        <v>華立祥</v>
      </c>
      <c r="R30" s="2">
        <f t="shared" si="0"/>
        <v>0</v>
      </c>
    </row>
    <row r="31" spans="1:18" x14ac:dyDescent="0.3">
      <c r="A31" s="2" t="str">
        <f t="shared" si="1"/>
        <v>水產養殖學系</v>
      </c>
      <c r="B31" s="2" t="str">
        <f>"00833016"</f>
        <v>00833016</v>
      </c>
      <c r="C31" s="2" t="str">
        <f>"黃炬翔"</f>
        <v>黃炬翔</v>
      </c>
      <c r="R31" s="2">
        <f t="shared" si="0"/>
        <v>0</v>
      </c>
    </row>
    <row r="32" spans="1:18" x14ac:dyDescent="0.3">
      <c r="A32" s="2" t="str">
        <f t="shared" si="1"/>
        <v>水產養殖學系</v>
      </c>
      <c r="B32" s="2" t="str">
        <f>"00833017"</f>
        <v>00833017</v>
      </c>
      <c r="C32" s="2" t="str">
        <f>"賴翊琝"</f>
        <v>賴翊琝</v>
      </c>
      <c r="R32" s="2">
        <f t="shared" si="0"/>
        <v>0</v>
      </c>
    </row>
    <row r="33" spans="1:18" x14ac:dyDescent="0.3">
      <c r="A33" s="2" t="str">
        <f t="shared" si="1"/>
        <v>水產養殖學系</v>
      </c>
      <c r="B33" s="2" t="str">
        <f>"00833018"</f>
        <v>00833018</v>
      </c>
      <c r="C33" s="2" t="str">
        <f>"黃永欣"</f>
        <v>黃永欣</v>
      </c>
      <c r="R33" s="2">
        <f t="shared" si="0"/>
        <v>0</v>
      </c>
    </row>
    <row r="34" spans="1:18" x14ac:dyDescent="0.3">
      <c r="A34" s="2" t="str">
        <f t="shared" si="1"/>
        <v>水產養殖學系</v>
      </c>
      <c r="B34" s="2" t="str">
        <f>"00833019"</f>
        <v>00833019</v>
      </c>
      <c r="C34" s="2" t="str">
        <f>"王偉丞"</f>
        <v>王偉丞</v>
      </c>
      <c r="R34" s="2">
        <f t="shared" si="0"/>
        <v>0</v>
      </c>
    </row>
    <row r="35" spans="1:18" x14ac:dyDescent="0.3">
      <c r="A35" s="2" t="str">
        <f t="shared" si="1"/>
        <v>水產養殖學系</v>
      </c>
      <c r="B35" s="2" t="str">
        <f>"00833020"</f>
        <v>00833020</v>
      </c>
      <c r="C35" s="2" t="str">
        <f>"姜益軒"</f>
        <v>姜益軒</v>
      </c>
      <c r="R35" s="2">
        <f t="shared" si="0"/>
        <v>0</v>
      </c>
    </row>
    <row r="36" spans="1:18" x14ac:dyDescent="0.3">
      <c r="A36" s="2" t="str">
        <f t="shared" si="1"/>
        <v>水產養殖學系</v>
      </c>
      <c r="B36" s="2" t="str">
        <f>"00833021"</f>
        <v>00833021</v>
      </c>
      <c r="C36" s="2" t="str">
        <f>"邱詩涵"</f>
        <v>邱詩涵</v>
      </c>
      <c r="J36" s="2">
        <v>1</v>
      </c>
      <c r="R36" s="2">
        <f t="shared" si="0"/>
        <v>1</v>
      </c>
    </row>
    <row r="37" spans="1:18" x14ac:dyDescent="0.3">
      <c r="A37" s="2" t="str">
        <f t="shared" si="1"/>
        <v>水產養殖學系</v>
      </c>
      <c r="B37" s="2" t="str">
        <f>"00833022"</f>
        <v>00833022</v>
      </c>
      <c r="C37" s="2" t="str">
        <f>"鄭芸奇"</f>
        <v>鄭芸奇</v>
      </c>
      <c r="R37" s="2">
        <f t="shared" si="0"/>
        <v>0</v>
      </c>
    </row>
    <row r="38" spans="1:18" x14ac:dyDescent="0.3">
      <c r="A38" s="2" t="str">
        <f t="shared" si="1"/>
        <v>水產養殖學系</v>
      </c>
      <c r="B38" s="2" t="str">
        <f>"00833023"</f>
        <v>00833023</v>
      </c>
      <c r="C38" s="2" t="str">
        <f>"陳昭誌"</f>
        <v>陳昭誌</v>
      </c>
      <c r="R38" s="2">
        <f t="shared" si="0"/>
        <v>0</v>
      </c>
    </row>
    <row r="39" spans="1:18" x14ac:dyDescent="0.3">
      <c r="A39" s="2" t="str">
        <f t="shared" si="1"/>
        <v>水產養殖學系</v>
      </c>
      <c r="B39" s="2" t="str">
        <f>"00833024"</f>
        <v>00833024</v>
      </c>
      <c r="C39" s="2" t="str">
        <f>"姚柯寧"</f>
        <v>姚柯寧</v>
      </c>
      <c r="R39" s="2">
        <f t="shared" si="0"/>
        <v>0</v>
      </c>
    </row>
    <row r="40" spans="1:18" x14ac:dyDescent="0.3">
      <c r="A40" s="2" t="str">
        <f t="shared" si="1"/>
        <v>水產養殖學系</v>
      </c>
      <c r="B40" s="2" t="str">
        <f>"00833025"</f>
        <v>00833025</v>
      </c>
      <c r="C40" s="2" t="str">
        <f>"吳元凱"</f>
        <v>吳元凱</v>
      </c>
      <c r="R40" s="2">
        <f t="shared" si="0"/>
        <v>0</v>
      </c>
    </row>
    <row r="41" spans="1:18" x14ac:dyDescent="0.3">
      <c r="A41" s="2" t="str">
        <f t="shared" si="1"/>
        <v>水產養殖學系</v>
      </c>
      <c r="B41" s="2" t="str">
        <f>"00833026"</f>
        <v>00833026</v>
      </c>
      <c r="C41" s="2" t="str">
        <f>"曾新晉"</f>
        <v>曾新晉</v>
      </c>
      <c r="R41" s="2">
        <f t="shared" si="0"/>
        <v>0</v>
      </c>
    </row>
    <row r="42" spans="1:18" x14ac:dyDescent="0.3">
      <c r="A42" s="2" t="str">
        <f t="shared" si="1"/>
        <v>水產養殖學系</v>
      </c>
      <c r="B42" s="2" t="str">
        <f>"00833027"</f>
        <v>00833027</v>
      </c>
      <c r="C42" s="2" t="str">
        <f>"蘇柏宇"</f>
        <v>蘇柏宇</v>
      </c>
      <c r="F42" s="2">
        <v>1</v>
      </c>
      <c r="J42" s="2">
        <v>1</v>
      </c>
      <c r="M42" s="2">
        <v>1</v>
      </c>
      <c r="R42" s="2">
        <f t="shared" si="0"/>
        <v>3</v>
      </c>
    </row>
    <row r="43" spans="1:18" x14ac:dyDescent="0.3">
      <c r="A43" s="2" t="str">
        <f t="shared" si="1"/>
        <v>水產養殖學系</v>
      </c>
      <c r="B43" s="2" t="str">
        <f>"00833028"</f>
        <v>00833028</v>
      </c>
      <c r="C43" s="2" t="str">
        <f>"黃婷鈺"</f>
        <v>黃婷鈺</v>
      </c>
      <c r="R43" s="2">
        <f t="shared" si="0"/>
        <v>0</v>
      </c>
    </row>
    <row r="44" spans="1:18" x14ac:dyDescent="0.3">
      <c r="A44" s="2" t="str">
        <f t="shared" si="1"/>
        <v>水產養殖學系</v>
      </c>
      <c r="B44" s="2" t="str">
        <f>"00833029"</f>
        <v>00833029</v>
      </c>
      <c r="C44" s="2" t="str">
        <f>"賴德原"</f>
        <v>賴德原</v>
      </c>
      <c r="R44" s="2">
        <f t="shared" si="0"/>
        <v>0</v>
      </c>
    </row>
    <row r="45" spans="1:18" x14ac:dyDescent="0.3">
      <c r="A45" s="2" t="str">
        <f t="shared" si="1"/>
        <v>水產養殖學系</v>
      </c>
      <c r="B45" s="2" t="str">
        <f>"00833030"</f>
        <v>00833030</v>
      </c>
      <c r="C45" s="2" t="str">
        <f>"顏彰霆"</f>
        <v>顏彰霆</v>
      </c>
      <c r="F45" s="2">
        <v>1</v>
      </c>
      <c r="J45" s="2">
        <v>1</v>
      </c>
      <c r="R45" s="2">
        <f t="shared" si="0"/>
        <v>2</v>
      </c>
    </row>
    <row r="46" spans="1:18" x14ac:dyDescent="0.3">
      <c r="A46" s="2" t="str">
        <f t="shared" si="1"/>
        <v>水產養殖學系</v>
      </c>
      <c r="B46" s="2" t="str">
        <f>"00833031"</f>
        <v>00833031</v>
      </c>
      <c r="C46" s="2" t="str">
        <f>"邱承恩"</f>
        <v>邱承恩</v>
      </c>
      <c r="R46" s="2">
        <f t="shared" si="0"/>
        <v>0</v>
      </c>
    </row>
    <row r="47" spans="1:18" x14ac:dyDescent="0.3">
      <c r="A47" s="2" t="str">
        <f t="shared" si="1"/>
        <v>水產養殖學系</v>
      </c>
      <c r="B47" s="2" t="str">
        <f>"00833032"</f>
        <v>00833032</v>
      </c>
      <c r="C47" s="2" t="str">
        <f>"唐立倫"</f>
        <v>唐立倫</v>
      </c>
      <c r="R47" s="2">
        <f t="shared" si="0"/>
        <v>0</v>
      </c>
    </row>
    <row r="48" spans="1:18" x14ac:dyDescent="0.3">
      <c r="A48" s="2" t="s">
        <v>0</v>
      </c>
      <c r="B48" s="2" t="s">
        <v>1</v>
      </c>
      <c r="C48" s="2" t="s">
        <v>2</v>
      </c>
      <c r="D48" s="3" t="s">
        <v>18</v>
      </c>
      <c r="E48" s="4" t="s">
        <v>19</v>
      </c>
      <c r="F48" s="4" t="s">
        <v>31</v>
      </c>
      <c r="G48" s="4" t="s">
        <v>20</v>
      </c>
      <c r="H48" s="4" t="s">
        <v>21</v>
      </c>
      <c r="I48" s="4" t="s">
        <v>22</v>
      </c>
      <c r="J48" s="4" t="s">
        <v>23</v>
      </c>
      <c r="K48" s="4" t="s">
        <v>24</v>
      </c>
      <c r="L48" s="4" t="s">
        <v>25</v>
      </c>
      <c r="M48" s="4" t="s">
        <v>26</v>
      </c>
      <c r="N48" s="4" t="s">
        <v>27</v>
      </c>
      <c r="O48" s="4" t="s">
        <v>28</v>
      </c>
      <c r="P48" s="4" t="s">
        <v>29</v>
      </c>
      <c r="Q48" s="4" t="s">
        <v>30</v>
      </c>
      <c r="R48" s="1" t="s">
        <v>3</v>
      </c>
    </row>
    <row r="49" spans="1:18" x14ac:dyDescent="0.3">
      <c r="A49" s="2" t="str">
        <f t="shared" si="1"/>
        <v>水產養殖學系</v>
      </c>
      <c r="B49" s="2" t="str">
        <f>"00833033"</f>
        <v>00833033</v>
      </c>
      <c r="C49" s="2" t="str">
        <f>"俞庭瑜"</f>
        <v>俞庭瑜</v>
      </c>
      <c r="R49" s="2">
        <f t="shared" si="0"/>
        <v>0</v>
      </c>
    </row>
    <row r="50" spans="1:18" x14ac:dyDescent="0.3">
      <c r="A50" s="2" t="str">
        <f t="shared" si="1"/>
        <v>水產養殖學系</v>
      </c>
      <c r="B50" s="2" t="str">
        <f>"00833034"</f>
        <v>00833034</v>
      </c>
      <c r="C50" s="2" t="str">
        <f>"林廷儒"</f>
        <v>林廷儒</v>
      </c>
      <c r="J50" s="2">
        <v>1</v>
      </c>
      <c r="R50" s="2">
        <f t="shared" si="0"/>
        <v>1</v>
      </c>
    </row>
    <row r="51" spans="1:18" x14ac:dyDescent="0.3">
      <c r="A51" s="2" t="str">
        <f t="shared" si="1"/>
        <v>水產養殖學系</v>
      </c>
      <c r="B51" s="2" t="str">
        <f>"00833035"</f>
        <v>00833035</v>
      </c>
      <c r="C51" s="2" t="str">
        <f>"張瑜珍"</f>
        <v>張瑜珍</v>
      </c>
      <c r="R51" s="2">
        <f t="shared" si="0"/>
        <v>0</v>
      </c>
    </row>
    <row r="52" spans="1:18" x14ac:dyDescent="0.3">
      <c r="A52" s="2" t="str">
        <f t="shared" si="1"/>
        <v>水產養殖學系</v>
      </c>
      <c r="B52" s="2" t="str">
        <f>"00833036"</f>
        <v>00833036</v>
      </c>
      <c r="C52" s="2" t="str">
        <f>"林婉淳"</f>
        <v>林婉淳</v>
      </c>
      <c r="R52" s="2">
        <f t="shared" si="0"/>
        <v>0</v>
      </c>
    </row>
    <row r="53" spans="1:18" x14ac:dyDescent="0.3">
      <c r="A53" s="2" t="str">
        <f t="shared" si="1"/>
        <v>水產養殖學系</v>
      </c>
      <c r="B53" s="2" t="str">
        <f>"00833037"</f>
        <v>00833037</v>
      </c>
      <c r="C53" s="2" t="str">
        <f>"林冠維"</f>
        <v>林冠維</v>
      </c>
      <c r="R53" s="2">
        <f t="shared" si="0"/>
        <v>0</v>
      </c>
    </row>
    <row r="54" spans="1:18" x14ac:dyDescent="0.3">
      <c r="A54" s="2" t="str">
        <f t="shared" si="1"/>
        <v>水產養殖學系</v>
      </c>
      <c r="B54" s="2" t="str">
        <f>"00833038"</f>
        <v>00833038</v>
      </c>
      <c r="C54" s="2" t="str">
        <f>"黃星翰"</f>
        <v>黃星翰</v>
      </c>
      <c r="R54" s="2">
        <f t="shared" si="0"/>
        <v>0</v>
      </c>
    </row>
    <row r="55" spans="1:18" x14ac:dyDescent="0.3">
      <c r="A55" s="2" t="str">
        <f t="shared" si="1"/>
        <v>水產養殖學系</v>
      </c>
      <c r="B55" s="2" t="str">
        <f>"00833039"</f>
        <v>00833039</v>
      </c>
      <c r="C55" s="2" t="str">
        <f>"黃宇廷"</f>
        <v>黃宇廷</v>
      </c>
      <c r="R55" s="2">
        <f t="shared" si="0"/>
        <v>0</v>
      </c>
    </row>
    <row r="56" spans="1:18" x14ac:dyDescent="0.3">
      <c r="A56" s="2" t="str">
        <f t="shared" si="1"/>
        <v>水產養殖學系</v>
      </c>
      <c r="B56" s="2" t="str">
        <f>"00833040"</f>
        <v>00833040</v>
      </c>
      <c r="C56" s="2" t="str">
        <f>"謝和翰"</f>
        <v>謝和翰</v>
      </c>
      <c r="R56" s="2">
        <f t="shared" si="0"/>
        <v>0</v>
      </c>
    </row>
    <row r="57" spans="1:18" x14ac:dyDescent="0.3">
      <c r="A57" s="2" t="str">
        <f t="shared" si="1"/>
        <v>水產養殖學系</v>
      </c>
      <c r="B57" s="2" t="str">
        <f>"00833041"</f>
        <v>00833041</v>
      </c>
      <c r="C57" s="2" t="str">
        <f>"劉易輯"</f>
        <v>劉易輯</v>
      </c>
      <c r="R57" s="2">
        <f t="shared" si="0"/>
        <v>0</v>
      </c>
    </row>
    <row r="58" spans="1:18" x14ac:dyDescent="0.3">
      <c r="A58" s="2" t="str">
        <f t="shared" si="1"/>
        <v>水產養殖學系</v>
      </c>
      <c r="B58" s="2" t="str">
        <f>"00833042"</f>
        <v>00833042</v>
      </c>
      <c r="C58" s="2" t="str">
        <f>"陳怡穎"</f>
        <v>陳怡穎</v>
      </c>
      <c r="R58" s="2">
        <f t="shared" si="0"/>
        <v>0</v>
      </c>
    </row>
    <row r="59" spans="1:18" x14ac:dyDescent="0.3">
      <c r="A59" s="2" t="str">
        <f t="shared" si="1"/>
        <v>水產養殖學系</v>
      </c>
      <c r="B59" s="2" t="str">
        <f>"00833043"</f>
        <v>00833043</v>
      </c>
      <c r="C59" s="2" t="str">
        <f>"謝秉劭"</f>
        <v>謝秉劭</v>
      </c>
      <c r="R59" s="2">
        <f t="shared" si="0"/>
        <v>0</v>
      </c>
    </row>
    <row r="60" spans="1:18" x14ac:dyDescent="0.3">
      <c r="A60" s="2" t="str">
        <f t="shared" si="1"/>
        <v>水產養殖學系</v>
      </c>
      <c r="B60" s="2" t="str">
        <f>"00833044"</f>
        <v>00833044</v>
      </c>
      <c r="C60" s="2" t="str">
        <f>"陳鴻盛"</f>
        <v>陳鴻盛</v>
      </c>
      <c r="R60" s="2">
        <f t="shared" si="0"/>
        <v>0</v>
      </c>
    </row>
    <row r="61" spans="1:18" x14ac:dyDescent="0.3">
      <c r="A61" s="2" t="str">
        <f t="shared" si="1"/>
        <v>水產養殖學系</v>
      </c>
      <c r="B61" s="2" t="str">
        <f>"00833045"</f>
        <v>00833045</v>
      </c>
      <c r="C61" s="2" t="str">
        <f>"許文康"</f>
        <v>許文康</v>
      </c>
      <c r="R61" s="2">
        <f t="shared" si="0"/>
        <v>0</v>
      </c>
    </row>
    <row r="62" spans="1:18" x14ac:dyDescent="0.3">
      <c r="A62" s="2" t="str">
        <f t="shared" si="1"/>
        <v>水產養殖學系</v>
      </c>
      <c r="B62" s="2" t="str">
        <f>"00833046"</f>
        <v>00833046</v>
      </c>
      <c r="C62" s="2" t="str">
        <f>"尹可明"</f>
        <v>尹可明</v>
      </c>
      <c r="R62" s="2">
        <f t="shared" si="0"/>
        <v>0</v>
      </c>
    </row>
    <row r="63" spans="1:18" x14ac:dyDescent="0.3">
      <c r="A63" s="2" t="str">
        <f t="shared" si="1"/>
        <v>水產養殖學系</v>
      </c>
      <c r="B63" s="2" t="str">
        <f>"00833047"</f>
        <v>00833047</v>
      </c>
      <c r="C63" s="2" t="str">
        <f>"彭駿健"</f>
        <v>彭駿健</v>
      </c>
      <c r="R63" s="2">
        <f t="shared" si="0"/>
        <v>0</v>
      </c>
    </row>
    <row r="64" spans="1:18" x14ac:dyDescent="0.3">
      <c r="A64" s="2" t="str">
        <f t="shared" si="1"/>
        <v>水產養殖學系</v>
      </c>
      <c r="B64" s="2" t="str">
        <f>"00833048"</f>
        <v>00833048</v>
      </c>
      <c r="C64" s="2" t="str">
        <f>"劉焯培"</f>
        <v>劉焯培</v>
      </c>
      <c r="R64" s="2">
        <f t="shared" si="0"/>
        <v>0</v>
      </c>
    </row>
    <row r="65" spans="1:18" x14ac:dyDescent="0.3">
      <c r="A65" s="2" t="str">
        <f t="shared" si="1"/>
        <v>水產養殖學系</v>
      </c>
      <c r="B65" s="2" t="str">
        <f>"00833049"</f>
        <v>00833049</v>
      </c>
      <c r="C65" s="2" t="str">
        <f>"伍愷童"</f>
        <v>伍愷童</v>
      </c>
      <c r="R65" s="2">
        <f t="shared" si="0"/>
        <v>0</v>
      </c>
    </row>
    <row r="66" spans="1:18" x14ac:dyDescent="0.3">
      <c r="A66" s="2" t="str">
        <f t="shared" si="1"/>
        <v>水產養殖學系</v>
      </c>
      <c r="B66" s="2" t="str">
        <f>"00833050"</f>
        <v>00833050</v>
      </c>
      <c r="C66" s="2" t="str">
        <f>"葉子康"</f>
        <v>葉子康</v>
      </c>
      <c r="R66" s="2">
        <f t="shared" si="0"/>
        <v>0</v>
      </c>
    </row>
    <row r="67" spans="1:18" x14ac:dyDescent="0.3">
      <c r="A67" s="2" t="str">
        <f t="shared" si="1"/>
        <v>水產養殖學系</v>
      </c>
      <c r="B67" s="2" t="str">
        <f>"00833051"</f>
        <v>00833051</v>
      </c>
      <c r="C67" s="2" t="str">
        <f>"曾嘉儀"</f>
        <v>曾嘉儀</v>
      </c>
      <c r="R67" s="2">
        <f t="shared" si="0"/>
        <v>0</v>
      </c>
    </row>
    <row r="68" spans="1:18" x14ac:dyDescent="0.3">
      <c r="A68" s="2" t="str">
        <f t="shared" si="1"/>
        <v>水產養殖學系</v>
      </c>
      <c r="B68" s="2" t="str">
        <f>"00833052"</f>
        <v>00833052</v>
      </c>
      <c r="C68" s="2" t="str">
        <f>"張耀揚"</f>
        <v>張耀揚</v>
      </c>
      <c r="R68" s="2">
        <f t="shared" ref="R68:R119" si="2">SUM(D68:Q68)</f>
        <v>0</v>
      </c>
    </row>
    <row r="69" spans="1:18" x14ac:dyDescent="0.3">
      <c r="A69" s="2" t="str">
        <f t="shared" si="1"/>
        <v>水產養殖學系</v>
      </c>
      <c r="B69" s="2" t="str">
        <f>"00833101"</f>
        <v>00833101</v>
      </c>
      <c r="C69" s="2" t="str">
        <f>"黃亭瑜"</f>
        <v>黃亭瑜</v>
      </c>
      <c r="R69" s="2">
        <f t="shared" si="2"/>
        <v>0</v>
      </c>
    </row>
    <row r="70" spans="1:18" x14ac:dyDescent="0.3">
      <c r="A70" s="2" t="str">
        <f t="shared" si="1"/>
        <v>水產養殖學系</v>
      </c>
      <c r="B70" s="2" t="str">
        <f>"00833102"</f>
        <v>00833102</v>
      </c>
      <c r="C70" s="2" t="str">
        <f>"陳怡璇"</f>
        <v>陳怡璇</v>
      </c>
      <c r="R70" s="2">
        <f t="shared" si="2"/>
        <v>0</v>
      </c>
    </row>
    <row r="71" spans="1:18" x14ac:dyDescent="0.3">
      <c r="A71" s="2" t="str">
        <f t="shared" si="1"/>
        <v>水產養殖學系</v>
      </c>
      <c r="B71" s="2" t="str">
        <f>"00833103"</f>
        <v>00833103</v>
      </c>
      <c r="C71" s="2" t="str">
        <f>"張鈞淇"</f>
        <v>張鈞淇</v>
      </c>
      <c r="R71" s="2">
        <f t="shared" si="2"/>
        <v>0</v>
      </c>
    </row>
    <row r="72" spans="1:18" x14ac:dyDescent="0.3">
      <c r="A72" s="2" t="str">
        <f t="shared" si="1"/>
        <v>水產養殖學系</v>
      </c>
      <c r="B72" s="2" t="str">
        <f>"00833104"</f>
        <v>00833104</v>
      </c>
      <c r="C72" s="2" t="str">
        <f>"吳啟豪"</f>
        <v>吳啟豪</v>
      </c>
      <c r="R72" s="2">
        <f t="shared" si="2"/>
        <v>0</v>
      </c>
    </row>
    <row r="73" spans="1:18" x14ac:dyDescent="0.3">
      <c r="A73" s="2" t="str">
        <f t="shared" si="1"/>
        <v>水產養殖學系</v>
      </c>
      <c r="B73" s="2" t="str">
        <f>"00833105"</f>
        <v>00833105</v>
      </c>
      <c r="C73" s="2" t="str">
        <f>"曾崇安"</f>
        <v>曾崇安</v>
      </c>
      <c r="R73" s="2">
        <f t="shared" si="2"/>
        <v>0</v>
      </c>
    </row>
    <row r="74" spans="1:18" x14ac:dyDescent="0.3">
      <c r="A74" s="2" t="str">
        <f t="shared" si="1"/>
        <v>水產養殖學系</v>
      </c>
      <c r="B74" s="2" t="str">
        <f>"00833106"</f>
        <v>00833106</v>
      </c>
      <c r="C74" s="2" t="str">
        <f>"陳勇翰"</f>
        <v>陳勇翰</v>
      </c>
      <c r="R74" s="2">
        <f t="shared" si="2"/>
        <v>0</v>
      </c>
    </row>
    <row r="75" spans="1:18" x14ac:dyDescent="0.3">
      <c r="A75" s="2" t="str">
        <f t="shared" si="1"/>
        <v>水產養殖學系</v>
      </c>
      <c r="B75" s="2" t="str">
        <f>"00833107"</f>
        <v>00833107</v>
      </c>
      <c r="C75" s="2" t="str">
        <f>"王朝詮"</f>
        <v>王朝詮</v>
      </c>
      <c r="R75" s="2">
        <f t="shared" si="2"/>
        <v>0</v>
      </c>
    </row>
    <row r="76" spans="1:18" x14ac:dyDescent="0.3">
      <c r="A76" s="2" t="str">
        <f t="shared" si="1"/>
        <v>水產養殖學系</v>
      </c>
      <c r="B76" s="2" t="str">
        <f>"00833108"</f>
        <v>00833108</v>
      </c>
      <c r="C76" s="2" t="str">
        <f>"陳佳琳"</f>
        <v>陳佳琳</v>
      </c>
      <c r="R76" s="2">
        <f t="shared" si="2"/>
        <v>0</v>
      </c>
    </row>
    <row r="77" spans="1:18" x14ac:dyDescent="0.3">
      <c r="A77" s="2" t="str">
        <f t="shared" si="1"/>
        <v>水產養殖學系</v>
      </c>
      <c r="B77" s="2" t="str">
        <f>"00833109"</f>
        <v>00833109</v>
      </c>
      <c r="C77" s="2" t="str">
        <f>"盧郁寧"</f>
        <v>盧郁寧</v>
      </c>
      <c r="R77" s="2">
        <f t="shared" si="2"/>
        <v>0</v>
      </c>
    </row>
    <row r="78" spans="1:18" x14ac:dyDescent="0.3">
      <c r="A78" s="2" t="str">
        <f t="shared" si="1"/>
        <v>水產養殖學系</v>
      </c>
      <c r="B78" s="2" t="str">
        <f>"00833110"</f>
        <v>00833110</v>
      </c>
      <c r="C78" s="2" t="str">
        <f>"廖筱君"</f>
        <v>廖筱君</v>
      </c>
      <c r="R78" s="2">
        <f t="shared" si="2"/>
        <v>0</v>
      </c>
    </row>
    <row r="79" spans="1:18" x14ac:dyDescent="0.3">
      <c r="A79" s="2" t="str">
        <f t="shared" si="1"/>
        <v>水產養殖學系</v>
      </c>
      <c r="B79" s="2" t="str">
        <f>"00833111"</f>
        <v>00833111</v>
      </c>
      <c r="C79" s="2" t="str">
        <f>"黃東億"</f>
        <v>黃東億</v>
      </c>
      <c r="R79" s="2">
        <f t="shared" si="2"/>
        <v>0</v>
      </c>
    </row>
    <row r="80" spans="1:18" x14ac:dyDescent="0.3">
      <c r="A80" s="2" t="str">
        <f t="shared" si="1"/>
        <v>水產養殖學系</v>
      </c>
      <c r="B80" s="2" t="str">
        <f>"00833112"</f>
        <v>00833112</v>
      </c>
      <c r="C80" s="2" t="str">
        <f>"黃彥奇"</f>
        <v>黃彥奇</v>
      </c>
      <c r="E80" s="2">
        <v>1</v>
      </c>
      <c r="G80" s="2">
        <v>1</v>
      </c>
      <c r="L80" s="2">
        <v>1</v>
      </c>
      <c r="O80" s="2">
        <v>1</v>
      </c>
      <c r="R80" s="2">
        <f t="shared" si="2"/>
        <v>4</v>
      </c>
    </row>
    <row r="81" spans="1:18" x14ac:dyDescent="0.3">
      <c r="A81" s="2" t="str">
        <f t="shared" ref="A81:A119" si="3">"水產養殖學系"</f>
        <v>水產養殖學系</v>
      </c>
      <c r="B81" s="2" t="str">
        <f>"00833113"</f>
        <v>00833113</v>
      </c>
      <c r="C81" s="2" t="str">
        <f>"張宇慈"</f>
        <v>張宇慈</v>
      </c>
      <c r="R81" s="2">
        <f t="shared" si="2"/>
        <v>0</v>
      </c>
    </row>
    <row r="82" spans="1:18" x14ac:dyDescent="0.3">
      <c r="A82" s="2" t="str">
        <f t="shared" si="3"/>
        <v>水產養殖學系</v>
      </c>
      <c r="B82" s="2" t="str">
        <f>"00833114"</f>
        <v>00833114</v>
      </c>
      <c r="C82" s="2" t="str">
        <f>"黃柏諺"</f>
        <v>黃柏諺</v>
      </c>
      <c r="R82" s="2">
        <f t="shared" si="2"/>
        <v>0</v>
      </c>
    </row>
    <row r="83" spans="1:18" x14ac:dyDescent="0.3">
      <c r="A83" s="2" t="str">
        <f t="shared" si="3"/>
        <v>水產養殖學系</v>
      </c>
      <c r="B83" s="2" t="str">
        <f>"00833115"</f>
        <v>00833115</v>
      </c>
      <c r="C83" s="2" t="str">
        <f>"陳品蓉"</f>
        <v>陳品蓉</v>
      </c>
      <c r="R83" s="2">
        <f t="shared" si="2"/>
        <v>0</v>
      </c>
    </row>
    <row r="84" spans="1:18" x14ac:dyDescent="0.3">
      <c r="A84" s="2" t="str">
        <f t="shared" si="3"/>
        <v>水產養殖學系</v>
      </c>
      <c r="B84" s="2" t="str">
        <f>"00833116"</f>
        <v>00833116</v>
      </c>
      <c r="C84" s="2" t="str">
        <f>"江佳慧"</f>
        <v>江佳慧</v>
      </c>
      <c r="R84" s="2">
        <f t="shared" si="2"/>
        <v>0</v>
      </c>
    </row>
    <row r="85" spans="1:18" x14ac:dyDescent="0.3">
      <c r="A85" s="2" t="str">
        <f t="shared" si="3"/>
        <v>水產養殖學系</v>
      </c>
      <c r="B85" s="2" t="str">
        <f>"00833117"</f>
        <v>00833117</v>
      </c>
      <c r="C85" s="2" t="str">
        <f>"林明慧"</f>
        <v>林明慧</v>
      </c>
      <c r="R85" s="2">
        <f t="shared" si="2"/>
        <v>0</v>
      </c>
    </row>
    <row r="86" spans="1:18" x14ac:dyDescent="0.3">
      <c r="A86" s="2" t="str">
        <f t="shared" si="3"/>
        <v>水產養殖學系</v>
      </c>
      <c r="B86" s="2" t="str">
        <f>"00833118"</f>
        <v>00833118</v>
      </c>
      <c r="C86" s="2" t="str">
        <f>"楊杰融"</f>
        <v>楊杰融</v>
      </c>
      <c r="R86" s="2">
        <f t="shared" si="2"/>
        <v>0</v>
      </c>
    </row>
    <row r="87" spans="1:18" x14ac:dyDescent="0.3">
      <c r="A87" s="2" t="str">
        <f t="shared" si="3"/>
        <v>水產養殖學系</v>
      </c>
      <c r="B87" s="2" t="str">
        <f>"00833119"</f>
        <v>00833119</v>
      </c>
      <c r="C87" s="2" t="str">
        <f>"謝昱揚"</f>
        <v>謝昱揚</v>
      </c>
      <c r="R87" s="2">
        <f t="shared" si="2"/>
        <v>0</v>
      </c>
    </row>
    <row r="88" spans="1:18" x14ac:dyDescent="0.3">
      <c r="A88" s="2" t="str">
        <f t="shared" si="3"/>
        <v>水產養殖學系</v>
      </c>
      <c r="B88" s="2" t="str">
        <f>"00833120"</f>
        <v>00833120</v>
      </c>
      <c r="C88" s="2" t="str">
        <f>"劉光哲"</f>
        <v>劉光哲</v>
      </c>
      <c r="R88" s="2">
        <f t="shared" si="2"/>
        <v>0</v>
      </c>
    </row>
    <row r="89" spans="1:18" x14ac:dyDescent="0.3">
      <c r="A89" s="2" t="str">
        <f t="shared" si="3"/>
        <v>水產養殖學系</v>
      </c>
      <c r="B89" s="2" t="str">
        <f>"00833121"</f>
        <v>00833121</v>
      </c>
      <c r="C89" s="2" t="str">
        <f>"李子欣"</f>
        <v>李子欣</v>
      </c>
      <c r="R89" s="2">
        <f t="shared" si="2"/>
        <v>0</v>
      </c>
    </row>
    <row r="90" spans="1:18" x14ac:dyDescent="0.3">
      <c r="A90" s="2" t="str">
        <f t="shared" si="3"/>
        <v>水產養殖學系</v>
      </c>
      <c r="B90" s="2" t="str">
        <f>"00833122"</f>
        <v>00833122</v>
      </c>
      <c r="C90" s="2" t="str">
        <f>"林日奎"</f>
        <v>林日奎</v>
      </c>
      <c r="R90" s="2">
        <f t="shared" si="2"/>
        <v>0</v>
      </c>
    </row>
    <row r="91" spans="1:18" x14ac:dyDescent="0.3">
      <c r="A91" s="2" t="str">
        <f t="shared" si="3"/>
        <v>水產養殖學系</v>
      </c>
      <c r="B91" s="2" t="str">
        <f>"00833123"</f>
        <v>00833123</v>
      </c>
      <c r="C91" s="2" t="str">
        <f>"黃欽龍"</f>
        <v>黃欽龍</v>
      </c>
      <c r="R91" s="2">
        <f t="shared" si="2"/>
        <v>0</v>
      </c>
    </row>
    <row r="92" spans="1:18" x14ac:dyDescent="0.3">
      <c r="A92" s="2" t="str">
        <f t="shared" si="3"/>
        <v>水產養殖學系</v>
      </c>
      <c r="B92" s="2" t="str">
        <f>"00833124"</f>
        <v>00833124</v>
      </c>
      <c r="C92" s="2" t="str">
        <f>"吳翌陸"</f>
        <v>吳翌陸</v>
      </c>
      <c r="R92" s="2">
        <f t="shared" si="2"/>
        <v>0</v>
      </c>
    </row>
    <row r="93" spans="1:18" x14ac:dyDescent="0.3">
      <c r="A93" s="2" t="str">
        <f t="shared" si="3"/>
        <v>水產養殖學系</v>
      </c>
      <c r="B93" s="2" t="str">
        <f>"00833125"</f>
        <v>00833125</v>
      </c>
      <c r="C93" s="2" t="str">
        <f>"賴昱瑄"</f>
        <v>賴昱瑄</v>
      </c>
      <c r="J93" s="2">
        <v>1</v>
      </c>
      <c r="L93" s="2">
        <v>1</v>
      </c>
      <c r="P93" s="2">
        <v>1</v>
      </c>
      <c r="R93" s="2">
        <f t="shared" si="2"/>
        <v>3</v>
      </c>
    </row>
    <row r="94" spans="1:18" x14ac:dyDescent="0.3">
      <c r="A94" s="2" t="str">
        <f t="shared" si="3"/>
        <v>水產養殖學系</v>
      </c>
      <c r="B94" s="2" t="str">
        <f>"00833126"</f>
        <v>00833126</v>
      </c>
      <c r="C94" s="2" t="str">
        <f>"陳郁汝"</f>
        <v>陳郁汝</v>
      </c>
      <c r="R94" s="2">
        <f t="shared" si="2"/>
        <v>0</v>
      </c>
    </row>
    <row r="95" spans="1:18" x14ac:dyDescent="0.3">
      <c r="A95" s="2" t="s">
        <v>0</v>
      </c>
      <c r="B95" s="2" t="s">
        <v>1</v>
      </c>
      <c r="C95" s="2" t="s">
        <v>2</v>
      </c>
      <c r="D95" s="3" t="s">
        <v>18</v>
      </c>
      <c r="E95" s="4" t="s">
        <v>19</v>
      </c>
      <c r="F95" s="4" t="s">
        <v>31</v>
      </c>
      <c r="G95" s="4" t="s">
        <v>20</v>
      </c>
      <c r="H95" s="4" t="s">
        <v>21</v>
      </c>
      <c r="I95" s="4" t="s">
        <v>22</v>
      </c>
      <c r="J95" s="4" t="s">
        <v>23</v>
      </c>
      <c r="K95" s="4" t="s">
        <v>24</v>
      </c>
      <c r="L95" s="4" t="s">
        <v>25</v>
      </c>
      <c r="M95" s="4" t="s">
        <v>26</v>
      </c>
      <c r="N95" s="4" t="s">
        <v>27</v>
      </c>
      <c r="O95" s="4" t="s">
        <v>28</v>
      </c>
      <c r="P95" s="4" t="s">
        <v>29</v>
      </c>
      <c r="Q95" s="4" t="s">
        <v>30</v>
      </c>
      <c r="R95" s="1" t="s">
        <v>3</v>
      </c>
    </row>
    <row r="96" spans="1:18" x14ac:dyDescent="0.3">
      <c r="A96" s="2" t="str">
        <f t="shared" si="3"/>
        <v>水產養殖學系</v>
      </c>
      <c r="B96" s="2" t="str">
        <f>"00833127"</f>
        <v>00833127</v>
      </c>
      <c r="C96" s="2" t="str">
        <f>"張富棠"</f>
        <v>張富棠</v>
      </c>
      <c r="R96" s="2">
        <f t="shared" si="2"/>
        <v>0</v>
      </c>
    </row>
    <row r="97" spans="1:18" x14ac:dyDescent="0.3">
      <c r="A97" s="2" t="str">
        <f t="shared" si="3"/>
        <v>水產養殖學系</v>
      </c>
      <c r="B97" s="2" t="str">
        <f>"00833128"</f>
        <v>00833128</v>
      </c>
      <c r="C97" s="2" t="str">
        <f>"李侑駿"</f>
        <v>李侑駿</v>
      </c>
      <c r="R97" s="2">
        <f t="shared" si="2"/>
        <v>0</v>
      </c>
    </row>
    <row r="98" spans="1:18" x14ac:dyDescent="0.3">
      <c r="A98" s="2" t="str">
        <f t="shared" si="3"/>
        <v>水產養殖學系</v>
      </c>
      <c r="B98" s="2" t="str">
        <f>"00833129"</f>
        <v>00833129</v>
      </c>
      <c r="C98" s="2" t="str">
        <f>"李俊毅"</f>
        <v>李俊毅</v>
      </c>
      <c r="R98" s="2">
        <f t="shared" si="2"/>
        <v>0</v>
      </c>
    </row>
    <row r="99" spans="1:18" x14ac:dyDescent="0.3">
      <c r="A99" s="2" t="str">
        <f t="shared" si="3"/>
        <v>水產養殖學系</v>
      </c>
      <c r="B99" s="2" t="str">
        <f>"00833130"</f>
        <v>00833130</v>
      </c>
      <c r="C99" s="2" t="str">
        <f>"陳鈺嵐"</f>
        <v>陳鈺嵐</v>
      </c>
      <c r="R99" s="2">
        <f t="shared" si="2"/>
        <v>0</v>
      </c>
    </row>
    <row r="100" spans="1:18" x14ac:dyDescent="0.3">
      <c r="A100" s="2" t="str">
        <f t="shared" si="3"/>
        <v>水產養殖學系</v>
      </c>
      <c r="B100" s="2" t="str">
        <f>"00833131"</f>
        <v>00833131</v>
      </c>
      <c r="C100" s="2" t="str">
        <f>"陳坤勝"</f>
        <v>陳坤勝</v>
      </c>
      <c r="R100" s="2">
        <f t="shared" si="2"/>
        <v>0</v>
      </c>
    </row>
    <row r="101" spans="1:18" x14ac:dyDescent="0.3">
      <c r="A101" s="2" t="str">
        <f t="shared" si="3"/>
        <v>水產養殖學系</v>
      </c>
      <c r="B101" s="2" t="str">
        <f>"00833132"</f>
        <v>00833132</v>
      </c>
      <c r="C101" s="2" t="str">
        <f>"郭芳君"</f>
        <v>郭芳君</v>
      </c>
      <c r="R101" s="2">
        <f t="shared" si="2"/>
        <v>0</v>
      </c>
    </row>
    <row r="102" spans="1:18" x14ac:dyDescent="0.3">
      <c r="A102" s="2" t="str">
        <f t="shared" si="3"/>
        <v>水產養殖學系</v>
      </c>
      <c r="B102" s="2" t="str">
        <f>"00833133"</f>
        <v>00833133</v>
      </c>
      <c r="C102" s="2" t="str">
        <f>"鄭景倫"</f>
        <v>鄭景倫</v>
      </c>
      <c r="R102" s="2">
        <f t="shared" si="2"/>
        <v>0</v>
      </c>
    </row>
    <row r="103" spans="1:18" x14ac:dyDescent="0.3">
      <c r="A103" s="2" t="str">
        <f t="shared" si="3"/>
        <v>水產養殖學系</v>
      </c>
      <c r="B103" s="2" t="str">
        <f>"00833134"</f>
        <v>00833134</v>
      </c>
      <c r="C103" s="2" t="str">
        <f>"吳承杰"</f>
        <v>吳承杰</v>
      </c>
      <c r="R103" s="2">
        <f t="shared" si="2"/>
        <v>0</v>
      </c>
    </row>
    <row r="104" spans="1:18" x14ac:dyDescent="0.3">
      <c r="A104" s="2" t="str">
        <f t="shared" si="3"/>
        <v>水產養殖學系</v>
      </c>
      <c r="B104" s="2" t="str">
        <f>"00833135"</f>
        <v>00833135</v>
      </c>
      <c r="C104" s="2" t="str">
        <f>"朱恆毅"</f>
        <v>朱恆毅</v>
      </c>
      <c r="R104" s="2">
        <f t="shared" si="2"/>
        <v>0</v>
      </c>
    </row>
    <row r="105" spans="1:18" x14ac:dyDescent="0.3">
      <c r="A105" s="2" t="str">
        <f t="shared" si="3"/>
        <v>水產養殖學系</v>
      </c>
      <c r="B105" s="2" t="str">
        <f>"00833136"</f>
        <v>00833136</v>
      </c>
      <c r="C105" s="2" t="str">
        <f>"黃政川"</f>
        <v>黃政川</v>
      </c>
      <c r="R105" s="2">
        <f t="shared" si="2"/>
        <v>0</v>
      </c>
    </row>
    <row r="106" spans="1:18" x14ac:dyDescent="0.3">
      <c r="A106" s="2" t="str">
        <f t="shared" si="3"/>
        <v>水產養殖學系</v>
      </c>
      <c r="B106" s="2" t="str">
        <f>"00833137"</f>
        <v>00833137</v>
      </c>
      <c r="C106" s="2" t="str">
        <f>"宋芃節"</f>
        <v>宋芃節</v>
      </c>
      <c r="R106" s="2">
        <f t="shared" si="2"/>
        <v>0</v>
      </c>
    </row>
    <row r="107" spans="1:18" x14ac:dyDescent="0.3">
      <c r="A107" s="2" t="str">
        <f t="shared" si="3"/>
        <v>水產養殖學系</v>
      </c>
      <c r="B107" s="2" t="str">
        <f>"00833138"</f>
        <v>00833138</v>
      </c>
      <c r="C107" s="2" t="str">
        <f>"陳姿妤"</f>
        <v>陳姿妤</v>
      </c>
      <c r="R107" s="2">
        <f t="shared" si="2"/>
        <v>0</v>
      </c>
    </row>
    <row r="108" spans="1:18" x14ac:dyDescent="0.3">
      <c r="A108" s="2" t="str">
        <f t="shared" si="3"/>
        <v>水產養殖學系</v>
      </c>
      <c r="B108" s="2" t="str">
        <f>"00833139"</f>
        <v>00833139</v>
      </c>
      <c r="C108" s="2" t="str">
        <f>"林冠霖"</f>
        <v>林冠霖</v>
      </c>
      <c r="R108" s="2">
        <f t="shared" si="2"/>
        <v>0</v>
      </c>
    </row>
    <row r="109" spans="1:18" x14ac:dyDescent="0.3">
      <c r="A109" s="2" t="str">
        <f t="shared" si="3"/>
        <v>水產養殖學系</v>
      </c>
      <c r="B109" s="2" t="str">
        <f>"00833140"</f>
        <v>00833140</v>
      </c>
      <c r="C109" s="2" t="str">
        <f>"曾巧旺"</f>
        <v>曾巧旺</v>
      </c>
      <c r="R109" s="2">
        <f t="shared" si="2"/>
        <v>0</v>
      </c>
    </row>
    <row r="110" spans="1:18" x14ac:dyDescent="0.3">
      <c r="A110" s="2" t="str">
        <f t="shared" si="3"/>
        <v>水產養殖學系</v>
      </c>
      <c r="B110" s="2" t="str">
        <f>"00833141"</f>
        <v>00833141</v>
      </c>
      <c r="C110" s="2" t="str">
        <f>"蔡奇璋"</f>
        <v>蔡奇璋</v>
      </c>
      <c r="R110" s="2">
        <f t="shared" si="2"/>
        <v>0</v>
      </c>
    </row>
    <row r="111" spans="1:18" x14ac:dyDescent="0.3">
      <c r="A111" s="2" t="str">
        <f t="shared" si="3"/>
        <v>水產養殖學系</v>
      </c>
      <c r="B111" s="2" t="str">
        <f>"00833142"</f>
        <v>00833142</v>
      </c>
      <c r="C111" s="2" t="str">
        <f>"許芊卉"</f>
        <v>許芊卉</v>
      </c>
      <c r="R111" s="2">
        <f t="shared" si="2"/>
        <v>0</v>
      </c>
    </row>
    <row r="112" spans="1:18" x14ac:dyDescent="0.3">
      <c r="A112" s="2" t="str">
        <f t="shared" si="3"/>
        <v>水產養殖學系</v>
      </c>
      <c r="B112" s="2" t="str">
        <f>"00833143"</f>
        <v>00833143</v>
      </c>
      <c r="C112" s="2" t="str">
        <f>"潘?樑"</f>
        <v>潘?樑</v>
      </c>
      <c r="R112" s="2">
        <f t="shared" si="2"/>
        <v>0</v>
      </c>
    </row>
    <row r="113" spans="1:18" x14ac:dyDescent="0.3">
      <c r="A113" s="2" t="str">
        <f t="shared" si="3"/>
        <v>水產養殖學系</v>
      </c>
      <c r="B113" s="2" t="str">
        <f>"00833144"</f>
        <v>00833144</v>
      </c>
      <c r="C113" s="2" t="str">
        <f>"張興權"</f>
        <v>張興權</v>
      </c>
      <c r="R113" s="2">
        <f t="shared" si="2"/>
        <v>0</v>
      </c>
    </row>
    <row r="114" spans="1:18" x14ac:dyDescent="0.3">
      <c r="A114" s="2" t="str">
        <f t="shared" si="3"/>
        <v>水產養殖學系</v>
      </c>
      <c r="B114" s="2" t="str">
        <f>"00833145"</f>
        <v>00833145</v>
      </c>
      <c r="C114" s="2" t="str">
        <f>"溫游隆"</f>
        <v>溫游隆</v>
      </c>
      <c r="R114" s="2">
        <f t="shared" si="2"/>
        <v>0</v>
      </c>
    </row>
    <row r="115" spans="1:18" x14ac:dyDescent="0.3">
      <c r="A115" s="2" t="str">
        <f t="shared" si="3"/>
        <v>水產養殖學系</v>
      </c>
      <c r="B115" s="2" t="str">
        <f>"00833146"</f>
        <v>00833146</v>
      </c>
      <c r="C115" s="2" t="str">
        <f>"陳柏林"</f>
        <v>陳柏林</v>
      </c>
      <c r="R115" s="2">
        <f t="shared" si="2"/>
        <v>0</v>
      </c>
    </row>
    <row r="116" spans="1:18" x14ac:dyDescent="0.3">
      <c r="A116" s="2" t="str">
        <f t="shared" si="3"/>
        <v>水產養殖學系</v>
      </c>
      <c r="B116" s="2" t="str">
        <f>"00833147"</f>
        <v>00833147</v>
      </c>
      <c r="C116" s="2" t="str">
        <f>"李嘉桓"</f>
        <v>李嘉桓</v>
      </c>
      <c r="R116" s="2">
        <f t="shared" si="2"/>
        <v>0</v>
      </c>
    </row>
    <row r="117" spans="1:18" x14ac:dyDescent="0.3">
      <c r="A117" s="2" t="str">
        <f t="shared" si="3"/>
        <v>水產養殖學系</v>
      </c>
      <c r="B117" s="2" t="str">
        <f>"00833148"</f>
        <v>00833148</v>
      </c>
      <c r="C117" s="2" t="str">
        <f>"陳可丰"</f>
        <v>陳可丰</v>
      </c>
      <c r="R117" s="2">
        <f t="shared" si="2"/>
        <v>0</v>
      </c>
    </row>
    <row r="118" spans="1:18" x14ac:dyDescent="0.3">
      <c r="A118" s="2" t="str">
        <f t="shared" si="3"/>
        <v>水產養殖學系</v>
      </c>
      <c r="B118" s="2" t="str">
        <f>"00833149"</f>
        <v>00833149</v>
      </c>
      <c r="C118" s="2" t="str">
        <f>"易浩暉"</f>
        <v>易浩暉</v>
      </c>
      <c r="R118" s="2">
        <f t="shared" si="2"/>
        <v>0</v>
      </c>
    </row>
    <row r="119" spans="1:18" x14ac:dyDescent="0.3">
      <c r="A119" s="2" t="str">
        <f t="shared" si="3"/>
        <v>水產養殖學系</v>
      </c>
      <c r="B119" s="2" t="str">
        <f>"00833150"</f>
        <v>00833150</v>
      </c>
      <c r="C119" s="2" t="str">
        <f>"陳朝陽"</f>
        <v>陳朝陽</v>
      </c>
      <c r="R119" s="2">
        <f t="shared" si="2"/>
        <v>0</v>
      </c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&amp;C1081化學補強教學出席率登記本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23"/>
  <sheetViews>
    <sheetView view="pageLayout" zoomScale="96" zoomScaleNormal="100" zoomScalePageLayoutView="96" workbookViewId="0">
      <selection activeCell="A2" sqref="A2:R123"/>
    </sheetView>
  </sheetViews>
  <sheetFormatPr defaultColWidth="8.77734375" defaultRowHeight="16.2" x14ac:dyDescent="0.3"/>
  <cols>
    <col min="1" max="1" width="6.109375" style="2" customWidth="1"/>
    <col min="2" max="2" width="9.77734375" style="2" bestFit="1" customWidth="1"/>
    <col min="3" max="3" width="8" style="2" customWidth="1"/>
    <col min="4" max="18" width="4.6640625" style="2" customWidth="1"/>
    <col min="19" max="16384" width="8.77734375" style="2"/>
  </cols>
  <sheetData>
    <row r="2" spans="1:18" x14ac:dyDescent="0.3">
      <c r="A2" s="2" t="s">
        <v>0</v>
      </c>
      <c r="B2" s="2" t="s">
        <v>1</v>
      </c>
      <c r="C2" s="2" t="s">
        <v>2</v>
      </c>
      <c r="D2" s="3" t="s">
        <v>18</v>
      </c>
      <c r="E2" s="4" t="s">
        <v>19</v>
      </c>
      <c r="F2" s="4" t="s">
        <v>31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 t="s">
        <v>27</v>
      </c>
      <c r="O2" s="4" t="s">
        <v>28</v>
      </c>
      <c r="P2" s="4" t="s">
        <v>29</v>
      </c>
      <c r="Q2" s="4" t="s">
        <v>30</v>
      </c>
      <c r="R2" s="1" t="s">
        <v>3</v>
      </c>
    </row>
    <row r="3" spans="1:18" x14ac:dyDescent="0.3">
      <c r="A3" s="2" t="str">
        <f>"食品科學系食品科學組"</f>
        <v>食品科學系食品科學組</v>
      </c>
      <c r="B3" s="2" t="str">
        <f>"00539052"</f>
        <v>00539052</v>
      </c>
      <c r="C3" s="2" t="str">
        <f>"葉瑋玲"</f>
        <v>葉瑋玲</v>
      </c>
      <c r="R3" s="2">
        <f>SUM(D3:Q3)</f>
        <v>0</v>
      </c>
    </row>
    <row r="4" spans="1:18" x14ac:dyDescent="0.3">
      <c r="A4" s="2" t="str">
        <f>"食品科學系生物科技組"</f>
        <v>食品科學系生物科技組</v>
      </c>
      <c r="B4" s="2" t="str">
        <f>"0053A051"</f>
        <v>0053A051</v>
      </c>
      <c r="C4" s="2" t="str">
        <f>"劉俊汶"</f>
        <v>劉俊汶</v>
      </c>
      <c r="R4" s="2">
        <f t="shared" ref="R4:R67" si="0">SUM(D4:Q4)</f>
        <v>0</v>
      </c>
    </row>
    <row r="5" spans="1:18" x14ac:dyDescent="0.3">
      <c r="A5" s="2" t="str">
        <f>"食品科學系生物科技組"</f>
        <v>食品科學系生物科技組</v>
      </c>
      <c r="B5" s="2" t="str">
        <f>"0053A052"</f>
        <v>0053A052</v>
      </c>
      <c r="C5" s="2" t="str">
        <f>"譚諾謙"</f>
        <v>譚諾謙</v>
      </c>
      <c r="E5" s="2">
        <v>1</v>
      </c>
      <c r="R5" s="2">
        <f t="shared" si="0"/>
        <v>1</v>
      </c>
    </row>
    <row r="6" spans="1:18" x14ac:dyDescent="0.3">
      <c r="A6" s="2" t="str">
        <f>"海洋生物科技學士學位學程"</f>
        <v>海洋生物科技學士學位學程</v>
      </c>
      <c r="B6" s="2" t="str">
        <f>"00638001"</f>
        <v>00638001</v>
      </c>
      <c r="C6" s="2" t="str">
        <f>"鄭郁叡"</f>
        <v>鄭郁叡</v>
      </c>
      <c r="R6" s="2">
        <f t="shared" si="0"/>
        <v>0</v>
      </c>
    </row>
    <row r="7" spans="1:18" x14ac:dyDescent="0.3">
      <c r="A7" s="2" t="str">
        <f>"海洋生物科技學士學位學程"</f>
        <v>海洋生物科技學士學位學程</v>
      </c>
      <c r="B7" s="2" t="str">
        <f>"00638014"</f>
        <v>00638014</v>
      </c>
      <c r="C7" s="2" t="str">
        <f>"王彥勛"</f>
        <v>王彥勛</v>
      </c>
      <c r="R7" s="2">
        <f t="shared" si="0"/>
        <v>0</v>
      </c>
    </row>
    <row r="8" spans="1:18" x14ac:dyDescent="0.3">
      <c r="A8" s="2" t="str">
        <f>"海洋生物科技學士學位學程"</f>
        <v>海洋生物科技學士學位學程</v>
      </c>
      <c r="B8" s="2" t="str">
        <f>"00638024"</f>
        <v>00638024</v>
      </c>
      <c r="C8" s="2" t="str">
        <f>"江育名"</f>
        <v>江育名</v>
      </c>
      <c r="R8" s="2">
        <f t="shared" si="0"/>
        <v>0</v>
      </c>
    </row>
    <row r="9" spans="1:18" x14ac:dyDescent="0.3">
      <c r="A9" s="2" t="str">
        <f>"水產養殖學系"</f>
        <v>水產養殖學系</v>
      </c>
      <c r="B9" s="2" t="str">
        <f>"00733035"</f>
        <v>00733035</v>
      </c>
      <c r="C9" s="2" t="str">
        <f>"蔡承翰"</f>
        <v>蔡承翰</v>
      </c>
      <c r="R9" s="2">
        <f t="shared" si="0"/>
        <v>0</v>
      </c>
    </row>
    <row r="10" spans="1:18" x14ac:dyDescent="0.3">
      <c r="A10" s="2" t="str">
        <f>"食品科學系生物科技組"</f>
        <v>食品科學系生物科技組</v>
      </c>
      <c r="B10" s="2" t="str">
        <f>"0073A038"</f>
        <v>0073A038</v>
      </c>
      <c r="C10" s="2" t="str">
        <f>"張定睿"</f>
        <v>張定睿</v>
      </c>
      <c r="J10" s="2">
        <v>1</v>
      </c>
      <c r="R10" s="2">
        <f t="shared" si="0"/>
        <v>1</v>
      </c>
    </row>
    <row r="11" spans="1:18" x14ac:dyDescent="0.3">
      <c r="A11" s="2" t="str">
        <f t="shared" ref="A11:A74" si="1">"食品科學系食品科學組"</f>
        <v>食品科學系食品科學組</v>
      </c>
      <c r="B11" s="2" t="str">
        <f>"00839001"</f>
        <v>00839001</v>
      </c>
      <c r="C11" s="2" t="str">
        <f>"王偉全"</f>
        <v>王偉全</v>
      </c>
      <c r="R11" s="2">
        <f t="shared" si="0"/>
        <v>0</v>
      </c>
    </row>
    <row r="12" spans="1:18" x14ac:dyDescent="0.3">
      <c r="A12" s="2" t="str">
        <f t="shared" si="1"/>
        <v>食品科學系食品科學組</v>
      </c>
      <c r="B12" s="2" t="str">
        <f>"00839002"</f>
        <v>00839002</v>
      </c>
      <c r="C12" s="2" t="str">
        <f>"黃宣寧"</f>
        <v>黃宣寧</v>
      </c>
      <c r="E12" s="2">
        <v>1</v>
      </c>
      <c r="K12" s="2">
        <v>1</v>
      </c>
      <c r="O12" s="2">
        <v>1</v>
      </c>
      <c r="R12" s="2">
        <f t="shared" si="0"/>
        <v>3</v>
      </c>
    </row>
    <row r="13" spans="1:18" x14ac:dyDescent="0.3">
      <c r="A13" s="2" t="str">
        <f t="shared" si="1"/>
        <v>食品科學系食品科學組</v>
      </c>
      <c r="B13" s="2" t="str">
        <f>"00839003"</f>
        <v>00839003</v>
      </c>
      <c r="C13" s="2" t="str">
        <f>"楊子頡"</f>
        <v>楊子頡</v>
      </c>
      <c r="E13" s="2">
        <v>1</v>
      </c>
      <c r="G13" s="2">
        <v>1</v>
      </c>
      <c r="O13" s="2">
        <v>1</v>
      </c>
      <c r="R13" s="2">
        <f t="shared" si="0"/>
        <v>3</v>
      </c>
    </row>
    <row r="14" spans="1:18" x14ac:dyDescent="0.3">
      <c r="A14" s="2" t="str">
        <f t="shared" si="1"/>
        <v>食品科學系食品科學組</v>
      </c>
      <c r="B14" s="2" t="str">
        <f>"00839004"</f>
        <v>00839004</v>
      </c>
      <c r="C14" s="2" t="str">
        <f>"林育純"</f>
        <v>林育純</v>
      </c>
      <c r="R14" s="2">
        <f t="shared" si="0"/>
        <v>0</v>
      </c>
    </row>
    <row r="15" spans="1:18" x14ac:dyDescent="0.3">
      <c r="A15" s="2" t="str">
        <f t="shared" si="1"/>
        <v>食品科學系食品科學組</v>
      </c>
      <c r="B15" s="2" t="str">
        <f>"00839005"</f>
        <v>00839005</v>
      </c>
      <c r="C15" s="2" t="str">
        <f>"許文杰"</f>
        <v>許文杰</v>
      </c>
      <c r="R15" s="2">
        <f t="shared" si="0"/>
        <v>0</v>
      </c>
    </row>
    <row r="16" spans="1:18" x14ac:dyDescent="0.3">
      <c r="A16" s="2" t="str">
        <f t="shared" si="1"/>
        <v>食品科學系食品科學組</v>
      </c>
      <c r="B16" s="2" t="str">
        <f>"00839006"</f>
        <v>00839006</v>
      </c>
      <c r="C16" s="2" t="str">
        <f>"邵詩淳"</f>
        <v>邵詩淳</v>
      </c>
      <c r="R16" s="2">
        <f t="shared" si="0"/>
        <v>0</v>
      </c>
    </row>
    <row r="17" spans="1:18" x14ac:dyDescent="0.3">
      <c r="A17" s="2" t="str">
        <f t="shared" si="1"/>
        <v>食品科學系食品科學組</v>
      </c>
      <c r="B17" s="2" t="str">
        <f>"00839007"</f>
        <v>00839007</v>
      </c>
      <c r="C17" s="2" t="str">
        <f>"謝宗霖"</f>
        <v>謝宗霖</v>
      </c>
      <c r="R17" s="2">
        <f t="shared" si="0"/>
        <v>0</v>
      </c>
    </row>
    <row r="18" spans="1:18" x14ac:dyDescent="0.3">
      <c r="A18" s="2" t="str">
        <f t="shared" si="1"/>
        <v>食品科學系食品科學組</v>
      </c>
      <c r="B18" s="2" t="str">
        <f>"00839008"</f>
        <v>00839008</v>
      </c>
      <c r="C18" s="2" t="str">
        <f>"蔡佳家"</f>
        <v>蔡佳家</v>
      </c>
      <c r="R18" s="2">
        <f t="shared" si="0"/>
        <v>0</v>
      </c>
    </row>
    <row r="19" spans="1:18" x14ac:dyDescent="0.3">
      <c r="A19" s="2" t="str">
        <f t="shared" si="1"/>
        <v>食品科學系食品科學組</v>
      </c>
      <c r="B19" s="2" t="str">
        <f>"00839009"</f>
        <v>00839009</v>
      </c>
      <c r="C19" s="2" t="str">
        <f>"李映儒"</f>
        <v>李映儒</v>
      </c>
      <c r="R19" s="2">
        <f t="shared" si="0"/>
        <v>0</v>
      </c>
    </row>
    <row r="20" spans="1:18" x14ac:dyDescent="0.3">
      <c r="A20" s="2" t="str">
        <f t="shared" si="1"/>
        <v>食品科學系食品科學組</v>
      </c>
      <c r="B20" s="2" t="str">
        <f>"00839010"</f>
        <v>00839010</v>
      </c>
      <c r="C20" s="2" t="str">
        <f>"陳柏凱"</f>
        <v>陳柏凱</v>
      </c>
      <c r="E20" s="2">
        <v>1</v>
      </c>
      <c r="K20" s="2">
        <v>1</v>
      </c>
      <c r="R20" s="2">
        <f t="shared" si="0"/>
        <v>2</v>
      </c>
    </row>
    <row r="21" spans="1:18" x14ac:dyDescent="0.3">
      <c r="A21" s="2" t="str">
        <f t="shared" si="1"/>
        <v>食品科學系食品科學組</v>
      </c>
      <c r="B21" s="2" t="str">
        <f>"00839011"</f>
        <v>00839011</v>
      </c>
      <c r="C21" s="2" t="str">
        <f>"郭秉翰"</f>
        <v>郭秉翰</v>
      </c>
      <c r="R21" s="2">
        <f t="shared" si="0"/>
        <v>0</v>
      </c>
    </row>
    <row r="22" spans="1:18" x14ac:dyDescent="0.3">
      <c r="A22" s="2" t="str">
        <f t="shared" si="1"/>
        <v>食品科學系食品科學組</v>
      </c>
      <c r="B22" s="2" t="str">
        <f>"00839012"</f>
        <v>00839012</v>
      </c>
      <c r="C22" s="2" t="str">
        <f>"李耿函"</f>
        <v>李耿函</v>
      </c>
      <c r="E22" s="2">
        <v>1</v>
      </c>
      <c r="G22" s="2">
        <v>1</v>
      </c>
      <c r="K22" s="2">
        <v>1</v>
      </c>
      <c r="O22" s="2">
        <v>1</v>
      </c>
      <c r="R22" s="2">
        <f t="shared" si="0"/>
        <v>4</v>
      </c>
    </row>
    <row r="23" spans="1:18" x14ac:dyDescent="0.3">
      <c r="A23" s="2" t="str">
        <f t="shared" si="1"/>
        <v>食品科學系食品科學組</v>
      </c>
      <c r="B23" s="2" t="str">
        <f>"00839013"</f>
        <v>00839013</v>
      </c>
      <c r="C23" s="2" t="str">
        <f>"蔡咸齊"</f>
        <v>蔡咸齊</v>
      </c>
      <c r="R23" s="2">
        <f t="shared" si="0"/>
        <v>0</v>
      </c>
    </row>
    <row r="24" spans="1:18" x14ac:dyDescent="0.3">
      <c r="A24" s="2" t="str">
        <f t="shared" si="1"/>
        <v>食品科學系食品科學組</v>
      </c>
      <c r="B24" s="2" t="str">
        <f>"00839014"</f>
        <v>00839014</v>
      </c>
      <c r="C24" s="2" t="str">
        <f>"邱新茹"</f>
        <v>邱新茹</v>
      </c>
      <c r="E24" s="2">
        <v>1</v>
      </c>
      <c r="G24" s="2">
        <v>1</v>
      </c>
      <c r="K24" s="2">
        <v>1</v>
      </c>
      <c r="O24" s="2">
        <v>1</v>
      </c>
      <c r="R24" s="2">
        <f t="shared" si="0"/>
        <v>4</v>
      </c>
    </row>
    <row r="25" spans="1:18" x14ac:dyDescent="0.3">
      <c r="A25" s="2" t="str">
        <f t="shared" si="1"/>
        <v>食品科學系食品科學組</v>
      </c>
      <c r="B25" s="2" t="str">
        <f>"00839015"</f>
        <v>00839015</v>
      </c>
      <c r="C25" s="2" t="str">
        <f>"呂冠緯"</f>
        <v>呂冠緯</v>
      </c>
      <c r="R25" s="2">
        <f t="shared" si="0"/>
        <v>0</v>
      </c>
    </row>
    <row r="26" spans="1:18" x14ac:dyDescent="0.3">
      <c r="A26" s="2" t="str">
        <f t="shared" si="1"/>
        <v>食品科學系食品科學組</v>
      </c>
      <c r="B26" s="2" t="str">
        <f>"00839016"</f>
        <v>00839016</v>
      </c>
      <c r="C26" s="2" t="str">
        <f>"張雅婷"</f>
        <v>張雅婷</v>
      </c>
      <c r="E26" s="2">
        <v>1</v>
      </c>
      <c r="G26" s="2">
        <v>1</v>
      </c>
      <c r="K26" s="2">
        <v>1</v>
      </c>
      <c r="O26" s="2">
        <v>1</v>
      </c>
      <c r="R26" s="2">
        <f t="shared" si="0"/>
        <v>4</v>
      </c>
    </row>
    <row r="27" spans="1:18" x14ac:dyDescent="0.3">
      <c r="A27" s="2" t="str">
        <f t="shared" si="1"/>
        <v>食品科學系食品科學組</v>
      </c>
      <c r="B27" s="2" t="str">
        <f>"00839017"</f>
        <v>00839017</v>
      </c>
      <c r="C27" s="2" t="str">
        <f>"李名偉"</f>
        <v>李名偉</v>
      </c>
      <c r="R27" s="2">
        <f t="shared" si="0"/>
        <v>0</v>
      </c>
    </row>
    <row r="28" spans="1:18" x14ac:dyDescent="0.3">
      <c r="A28" s="2" t="str">
        <f t="shared" si="1"/>
        <v>食品科學系食品科學組</v>
      </c>
      <c r="B28" s="2" t="str">
        <f>"00839018"</f>
        <v>00839018</v>
      </c>
      <c r="C28" s="2" t="str">
        <f>"劉佳姍"</f>
        <v>劉佳姍</v>
      </c>
      <c r="R28" s="2">
        <f t="shared" si="0"/>
        <v>0</v>
      </c>
    </row>
    <row r="29" spans="1:18" x14ac:dyDescent="0.3">
      <c r="A29" s="2" t="str">
        <f t="shared" si="1"/>
        <v>食品科學系食品科學組</v>
      </c>
      <c r="B29" s="2" t="str">
        <f>"00839019"</f>
        <v>00839019</v>
      </c>
      <c r="C29" s="2" t="str">
        <f>"吳彥琳"</f>
        <v>吳彥琳</v>
      </c>
      <c r="F29" s="2">
        <v>1</v>
      </c>
      <c r="R29" s="2">
        <f t="shared" si="0"/>
        <v>1</v>
      </c>
    </row>
    <row r="30" spans="1:18" x14ac:dyDescent="0.3">
      <c r="A30" s="2" t="str">
        <f t="shared" si="1"/>
        <v>食品科學系食品科學組</v>
      </c>
      <c r="B30" s="2" t="str">
        <f>"00839020"</f>
        <v>00839020</v>
      </c>
      <c r="C30" s="2" t="str">
        <f>"陳威翰"</f>
        <v>陳威翰</v>
      </c>
      <c r="E30" s="2">
        <v>1</v>
      </c>
      <c r="G30" s="2">
        <v>1</v>
      </c>
      <c r="K30" s="2">
        <v>1</v>
      </c>
      <c r="O30" s="2">
        <v>1</v>
      </c>
      <c r="R30" s="2">
        <f t="shared" si="0"/>
        <v>4</v>
      </c>
    </row>
    <row r="31" spans="1:18" x14ac:dyDescent="0.3">
      <c r="A31" s="2" t="str">
        <f t="shared" si="1"/>
        <v>食品科學系食品科學組</v>
      </c>
      <c r="B31" s="2" t="str">
        <f>"00839021"</f>
        <v>00839021</v>
      </c>
      <c r="C31" s="2" t="str">
        <f>"柯汶伶"</f>
        <v>柯汶伶</v>
      </c>
      <c r="F31" s="2">
        <v>1</v>
      </c>
      <c r="G31" s="2">
        <v>1</v>
      </c>
      <c r="K31" s="2">
        <v>1</v>
      </c>
      <c r="O31" s="2">
        <v>1</v>
      </c>
      <c r="R31" s="2">
        <f t="shared" si="0"/>
        <v>4</v>
      </c>
    </row>
    <row r="32" spans="1:18" x14ac:dyDescent="0.3">
      <c r="A32" s="2" t="str">
        <f t="shared" si="1"/>
        <v>食品科學系食品科學組</v>
      </c>
      <c r="B32" s="2" t="str">
        <f>"00839022"</f>
        <v>00839022</v>
      </c>
      <c r="C32" s="2" t="str">
        <f>"李宜珊"</f>
        <v>李宜珊</v>
      </c>
      <c r="R32" s="2">
        <f t="shared" si="0"/>
        <v>0</v>
      </c>
    </row>
    <row r="33" spans="1:18" x14ac:dyDescent="0.3">
      <c r="A33" s="2" t="str">
        <f t="shared" si="1"/>
        <v>食品科學系食品科學組</v>
      </c>
      <c r="B33" s="2" t="str">
        <f>"00839023"</f>
        <v>00839023</v>
      </c>
      <c r="C33" s="2" t="str">
        <f>"邱馨諄"</f>
        <v>邱馨諄</v>
      </c>
      <c r="R33" s="2">
        <f t="shared" si="0"/>
        <v>0</v>
      </c>
    </row>
    <row r="34" spans="1:18" x14ac:dyDescent="0.3">
      <c r="A34" s="2" t="str">
        <f t="shared" si="1"/>
        <v>食品科學系食品科學組</v>
      </c>
      <c r="B34" s="2" t="str">
        <f>"00839024"</f>
        <v>00839024</v>
      </c>
      <c r="C34" s="2" t="str">
        <f>"邱聖峰"</f>
        <v>邱聖峰</v>
      </c>
      <c r="R34" s="2">
        <f t="shared" si="0"/>
        <v>0</v>
      </c>
    </row>
    <row r="35" spans="1:18" x14ac:dyDescent="0.3">
      <c r="A35" s="2" t="str">
        <f t="shared" si="1"/>
        <v>食品科學系食品科學組</v>
      </c>
      <c r="B35" s="2" t="str">
        <f>"00839025"</f>
        <v>00839025</v>
      </c>
      <c r="C35" s="2" t="str">
        <f>"黃閔裕"</f>
        <v>黃閔裕</v>
      </c>
      <c r="R35" s="2">
        <f t="shared" si="0"/>
        <v>0</v>
      </c>
    </row>
    <row r="36" spans="1:18" x14ac:dyDescent="0.3">
      <c r="A36" s="2" t="str">
        <f t="shared" si="1"/>
        <v>食品科學系食品科學組</v>
      </c>
      <c r="B36" s="2" t="str">
        <f>"00839026"</f>
        <v>00839026</v>
      </c>
      <c r="C36" s="2" t="str">
        <f>"孟楚皓"</f>
        <v>孟楚皓</v>
      </c>
      <c r="F36" s="2">
        <v>1</v>
      </c>
      <c r="R36" s="2">
        <f t="shared" si="0"/>
        <v>1</v>
      </c>
    </row>
    <row r="37" spans="1:18" x14ac:dyDescent="0.3">
      <c r="A37" s="2" t="str">
        <f t="shared" si="1"/>
        <v>食品科學系食品科學組</v>
      </c>
      <c r="B37" s="2" t="str">
        <f>"00839027"</f>
        <v>00839027</v>
      </c>
      <c r="C37" s="2" t="str">
        <f>"陳品妤"</f>
        <v>陳品妤</v>
      </c>
      <c r="E37" s="2">
        <v>1</v>
      </c>
      <c r="R37" s="2">
        <f t="shared" si="0"/>
        <v>1</v>
      </c>
    </row>
    <row r="38" spans="1:18" x14ac:dyDescent="0.3">
      <c r="A38" s="2" t="str">
        <f t="shared" si="1"/>
        <v>食品科學系食品科學組</v>
      </c>
      <c r="B38" s="2" t="str">
        <f>"00839028"</f>
        <v>00839028</v>
      </c>
      <c r="C38" s="2" t="str">
        <f>"林靜君"</f>
        <v>林靜君</v>
      </c>
      <c r="R38" s="2">
        <f t="shared" si="0"/>
        <v>0</v>
      </c>
    </row>
    <row r="39" spans="1:18" x14ac:dyDescent="0.3">
      <c r="A39" s="2" t="str">
        <f t="shared" si="1"/>
        <v>食品科學系食品科學組</v>
      </c>
      <c r="B39" s="2" t="str">
        <f>"00839029"</f>
        <v>00839029</v>
      </c>
      <c r="C39" s="2" t="str">
        <f>"范馨月"</f>
        <v>范馨月</v>
      </c>
      <c r="E39" s="2">
        <v>1</v>
      </c>
      <c r="K39" s="2">
        <v>1</v>
      </c>
      <c r="O39" s="2">
        <v>1</v>
      </c>
      <c r="R39" s="2">
        <f t="shared" si="0"/>
        <v>3</v>
      </c>
    </row>
    <row r="40" spans="1:18" x14ac:dyDescent="0.3">
      <c r="A40" s="2" t="str">
        <f t="shared" si="1"/>
        <v>食品科學系食品科學組</v>
      </c>
      <c r="B40" s="2" t="str">
        <f>"00839030"</f>
        <v>00839030</v>
      </c>
      <c r="C40" s="2" t="str">
        <f>"吳郁暄"</f>
        <v>吳郁暄</v>
      </c>
      <c r="R40" s="2">
        <f t="shared" si="0"/>
        <v>0</v>
      </c>
    </row>
    <row r="41" spans="1:18" x14ac:dyDescent="0.3">
      <c r="A41" s="2" t="str">
        <f t="shared" si="1"/>
        <v>食品科學系食品科學組</v>
      </c>
      <c r="B41" s="2" t="str">
        <f>"00839031"</f>
        <v>00839031</v>
      </c>
      <c r="C41" s="2" t="str">
        <f>"林慧婷"</f>
        <v>林慧婷</v>
      </c>
      <c r="E41" s="2">
        <v>1</v>
      </c>
      <c r="G41" s="2">
        <v>1</v>
      </c>
      <c r="J41" s="2">
        <v>1</v>
      </c>
      <c r="O41" s="2">
        <v>1</v>
      </c>
      <c r="R41" s="2">
        <f t="shared" si="0"/>
        <v>4</v>
      </c>
    </row>
    <row r="42" spans="1:18" x14ac:dyDescent="0.3">
      <c r="A42" s="2" t="str">
        <f t="shared" si="1"/>
        <v>食品科學系食品科學組</v>
      </c>
      <c r="B42" s="2" t="str">
        <f>"00839032"</f>
        <v>00839032</v>
      </c>
      <c r="C42" s="2" t="str">
        <f>"翁立璿"</f>
        <v>翁立璿</v>
      </c>
      <c r="R42" s="2">
        <f t="shared" si="0"/>
        <v>0</v>
      </c>
    </row>
    <row r="43" spans="1:18" x14ac:dyDescent="0.3">
      <c r="A43" s="2" t="str">
        <f t="shared" si="1"/>
        <v>食品科學系食品科學組</v>
      </c>
      <c r="B43" s="2" t="str">
        <f>"00839033"</f>
        <v>00839033</v>
      </c>
      <c r="C43" s="2" t="str">
        <f>"蕭任絜"</f>
        <v>蕭任絜</v>
      </c>
      <c r="G43" s="2">
        <v>1</v>
      </c>
      <c r="M43" s="2">
        <v>1</v>
      </c>
      <c r="R43" s="2">
        <f t="shared" si="0"/>
        <v>2</v>
      </c>
    </row>
    <row r="44" spans="1:18" x14ac:dyDescent="0.3">
      <c r="A44" s="2" t="str">
        <f t="shared" si="1"/>
        <v>食品科學系食品科學組</v>
      </c>
      <c r="B44" s="2" t="str">
        <f>"00839034"</f>
        <v>00839034</v>
      </c>
      <c r="C44" s="2" t="str">
        <f>"高建霖"</f>
        <v>高建霖</v>
      </c>
      <c r="K44" s="2">
        <v>1</v>
      </c>
      <c r="R44" s="2">
        <f t="shared" si="0"/>
        <v>1</v>
      </c>
    </row>
    <row r="45" spans="1:18" x14ac:dyDescent="0.3">
      <c r="A45" s="2" t="str">
        <f t="shared" si="1"/>
        <v>食品科學系食品科學組</v>
      </c>
      <c r="B45" s="2" t="str">
        <f>"00839035"</f>
        <v>00839035</v>
      </c>
      <c r="C45" s="2" t="str">
        <f>"陳品瑜"</f>
        <v>陳品瑜</v>
      </c>
      <c r="E45" s="2">
        <v>1</v>
      </c>
      <c r="F45" s="2">
        <v>1</v>
      </c>
      <c r="J45" s="2">
        <v>1</v>
      </c>
      <c r="K45" s="2">
        <v>1</v>
      </c>
      <c r="O45" s="2">
        <v>1</v>
      </c>
      <c r="R45" s="2">
        <f t="shared" si="0"/>
        <v>5</v>
      </c>
    </row>
    <row r="46" spans="1:18" x14ac:dyDescent="0.3">
      <c r="A46" s="2" t="str">
        <f t="shared" si="1"/>
        <v>食品科學系食品科學組</v>
      </c>
      <c r="B46" s="2" t="str">
        <f>"00839036"</f>
        <v>00839036</v>
      </c>
      <c r="C46" s="2" t="str">
        <f>"張維庭"</f>
        <v>張維庭</v>
      </c>
      <c r="R46" s="2">
        <f t="shared" si="0"/>
        <v>0</v>
      </c>
    </row>
    <row r="47" spans="1:18" x14ac:dyDescent="0.3">
      <c r="A47" s="2" t="str">
        <f t="shared" si="1"/>
        <v>食品科學系食品科學組</v>
      </c>
      <c r="B47" s="2" t="str">
        <f>"00839037"</f>
        <v>00839037</v>
      </c>
      <c r="C47" s="2" t="str">
        <f>"黃容怡"</f>
        <v>黃容怡</v>
      </c>
      <c r="R47" s="2">
        <f t="shared" si="0"/>
        <v>0</v>
      </c>
    </row>
    <row r="48" spans="1:18" x14ac:dyDescent="0.3">
      <c r="A48" s="2" t="s">
        <v>0</v>
      </c>
      <c r="B48" s="2" t="s">
        <v>1</v>
      </c>
      <c r="C48" s="2" t="s">
        <v>2</v>
      </c>
      <c r="D48" s="3" t="s">
        <v>18</v>
      </c>
      <c r="E48" s="4" t="s">
        <v>19</v>
      </c>
      <c r="F48" s="4" t="s">
        <v>31</v>
      </c>
      <c r="G48" s="4" t="s">
        <v>20</v>
      </c>
      <c r="H48" s="4" t="s">
        <v>21</v>
      </c>
      <c r="I48" s="4" t="s">
        <v>22</v>
      </c>
      <c r="J48" s="4" t="s">
        <v>23</v>
      </c>
      <c r="K48" s="4" t="s">
        <v>24</v>
      </c>
      <c r="L48" s="4" t="s">
        <v>25</v>
      </c>
      <c r="M48" s="4" t="s">
        <v>26</v>
      </c>
      <c r="N48" s="4" t="s">
        <v>27</v>
      </c>
      <c r="O48" s="4" t="s">
        <v>28</v>
      </c>
      <c r="P48" s="4" t="s">
        <v>29</v>
      </c>
      <c r="Q48" s="4" t="s">
        <v>30</v>
      </c>
      <c r="R48" s="1" t="s">
        <v>3</v>
      </c>
    </row>
    <row r="49" spans="1:18" x14ac:dyDescent="0.3">
      <c r="A49" s="2" t="str">
        <f t="shared" si="1"/>
        <v>食品科學系食品科學組</v>
      </c>
      <c r="B49" s="2" t="str">
        <f>"00839038"</f>
        <v>00839038</v>
      </c>
      <c r="C49" s="2" t="str">
        <f>"鄭宇君"</f>
        <v>鄭宇君</v>
      </c>
      <c r="I49" s="2">
        <v>1</v>
      </c>
      <c r="L49" s="2">
        <v>1</v>
      </c>
      <c r="N49" s="2">
        <v>1</v>
      </c>
      <c r="R49" s="2">
        <f t="shared" si="0"/>
        <v>3</v>
      </c>
    </row>
    <row r="50" spans="1:18" x14ac:dyDescent="0.3">
      <c r="A50" s="2" t="str">
        <f t="shared" si="1"/>
        <v>食品科學系食品科學組</v>
      </c>
      <c r="B50" s="2" t="str">
        <f>"00839039"</f>
        <v>00839039</v>
      </c>
      <c r="C50" s="2" t="str">
        <f>"林雨萱"</f>
        <v>林雨萱</v>
      </c>
      <c r="R50" s="2">
        <f t="shared" si="0"/>
        <v>0</v>
      </c>
    </row>
    <row r="51" spans="1:18" x14ac:dyDescent="0.3">
      <c r="A51" s="2" t="str">
        <f t="shared" si="1"/>
        <v>食品科學系食品科學組</v>
      </c>
      <c r="B51" s="2" t="str">
        <f>"00839040"</f>
        <v>00839040</v>
      </c>
      <c r="C51" s="2" t="str">
        <f>"陳欣暐"</f>
        <v>陳欣暐</v>
      </c>
      <c r="R51" s="2">
        <f t="shared" si="0"/>
        <v>0</v>
      </c>
    </row>
    <row r="52" spans="1:18" x14ac:dyDescent="0.3">
      <c r="A52" s="2" t="str">
        <f t="shared" si="1"/>
        <v>食品科學系食品科學組</v>
      </c>
      <c r="B52" s="2" t="str">
        <f>"00839041"</f>
        <v>00839041</v>
      </c>
      <c r="C52" s="2" t="str">
        <f>"梁安喬"</f>
        <v>梁安喬</v>
      </c>
      <c r="F52" s="2">
        <v>1</v>
      </c>
      <c r="R52" s="2">
        <f t="shared" si="0"/>
        <v>1</v>
      </c>
    </row>
    <row r="53" spans="1:18" x14ac:dyDescent="0.3">
      <c r="A53" s="2" t="str">
        <f t="shared" si="1"/>
        <v>食品科學系食品科學組</v>
      </c>
      <c r="B53" s="2" t="str">
        <f>"00839042"</f>
        <v>00839042</v>
      </c>
      <c r="C53" s="2" t="str">
        <f>"陳欣汝"</f>
        <v>陳欣汝</v>
      </c>
      <c r="F53" s="2">
        <v>1</v>
      </c>
      <c r="Q53" s="2">
        <v>1</v>
      </c>
      <c r="R53" s="2">
        <f t="shared" si="0"/>
        <v>2</v>
      </c>
    </row>
    <row r="54" spans="1:18" x14ac:dyDescent="0.3">
      <c r="A54" s="2" t="str">
        <f t="shared" si="1"/>
        <v>食品科學系食品科學組</v>
      </c>
      <c r="B54" s="2" t="str">
        <f>"00839043"</f>
        <v>00839043</v>
      </c>
      <c r="C54" s="2" t="str">
        <f>"陳靖惟"</f>
        <v>陳靖惟</v>
      </c>
      <c r="R54" s="2">
        <f t="shared" si="0"/>
        <v>0</v>
      </c>
    </row>
    <row r="55" spans="1:18" x14ac:dyDescent="0.3">
      <c r="A55" s="2" t="str">
        <f t="shared" si="1"/>
        <v>食品科學系食品科學組</v>
      </c>
      <c r="B55" s="2" t="str">
        <f>"00839044"</f>
        <v>00839044</v>
      </c>
      <c r="C55" s="2" t="str">
        <f>"王政勛"</f>
        <v>王政勛</v>
      </c>
      <c r="R55" s="2">
        <f t="shared" si="0"/>
        <v>0</v>
      </c>
    </row>
    <row r="56" spans="1:18" x14ac:dyDescent="0.3">
      <c r="A56" s="2" t="str">
        <f t="shared" si="1"/>
        <v>食品科學系食品科學組</v>
      </c>
      <c r="B56" s="2" t="str">
        <f>"00839045"</f>
        <v>00839045</v>
      </c>
      <c r="C56" s="2" t="str">
        <f>"林勃沅"</f>
        <v>林勃沅</v>
      </c>
      <c r="R56" s="2">
        <f t="shared" si="0"/>
        <v>0</v>
      </c>
    </row>
    <row r="57" spans="1:18" x14ac:dyDescent="0.3">
      <c r="A57" s="2" t="str">
        <f t="shared" si="1"/>
        <v>食品科學系食品科學組</v>
      </c>
      <c r="B57" s="2" t="str">
        <f>"00839046"</f>
        <v>00839046</v>
      </c>
      <c r="C57" s="2" t="str">
        <f>"焦淯汶"</f>
        <v>焦淯汶</v>
      </c>
      <c r="I57" s="2">
        <v>1</v>
      </c>
      <c r="Q57" s="2">
        <v>1</v>
      </c>
      <c r="R57" s="2">
        <f t="shared" si="0"/>
        <v>2</v>
      </c>
    </row>
    <row r="58" spans="1:18" x14ac:dyDescent="0.3">
      <c r="A58" s="2" t="str">
        <f t="shared" si="1"/>
        <v>食品科學系食品科學組</v>
      </c>
      <c r="B58" s="2" t="str">
        <f>"00839047"</f>
        <v>00839047</v>
      </c>
      <c r="C58" s="2" t="str">
        <f>"林柏瀚"</f>
        <v>林柏瀚</v>
      </c>
      <c r="R58" s="2">
        <f t="shared" si="0"/>
        <v>0</v>
      </c>
    </row>
    <row r="59" spans="1:18" x14ac:dyDescent="0.3">
      <c r="A59" s="2" t="str">
        <f t="shared" si="1"/>
        <v>食品科學系食品科學組</v>
      </c>
      <c r="B59" s="2" t="str">
        <f>"00839048"</f>
        <v>00839048</v>
      </c>
      <c r="C59" s="2" t="str">
        <f>"高政煜"</f>
        <v>高政煜</v>
      </c>
      <c r="E59" s="2">
        <v>1</v>
      </c>
      <c r="F59" s="2">
        <v>1</v>
      </c>
      <c r="G59" s="2">
        <v>1</v>
      </c>
      <c r="H59" s="2">
        <v>1</v>
      </c>
      <c r="I59" s="2">
        <v>1</v>
      </c>
      <c r="K59" s="2">
        <v>1</v>
      </c>
      <c r="P59" s="2">
        <v>1</v>
      </c>
      <c r="R59" s="2">
        <f t="shared" si="0"/>
        <v>7</v>
      </c>
    </row>
    <row r="60" spans="1:18" x14ac:dyDescent="0.3">
      <c r="A60" s="2" t="str">
        <f t="shared" si="1"/>
        <v>食品科學系食品科學組</v>
      </c>
      <c r="B60" s="2" t="str">
        <f>"00839049"</f>
        <v>00839049</v>
      </c>
      <c r="C60" s="2" t="str">
        <f>"薛慧?"</f>
        <v>薛慧?</v>
      </c>
      <c r="F60" s="2">
        <v>1</v>
      </c>
      <c r="H60" s="2">
        <v>1</v>
      </c>
      <c r="L60" s="2">
        <v>1</v>
      </c>
      <c r="P60" s="2">
        <v>1</v>
      </c>
      <c r="R60" s="2">
        <f t="shared" si="0"/>
        <v>4</v>
      </c>
    </row>
    <row r="61" spans="1:18" x14ac:dyDescent="0.3">
      <c r="A61" s="2" t="str">
        <f t="shared" si="1"/>
        <v>食品科學系食品科學組</v>
      </c>
      <c r="B61" s="2" t="str">
        <f>"00839050"</f>
        <v>00839050</v>
      </c>
      <c r="C61" s="2" t="str">
        <f>"?美玲"</f>
        <v>?美玲</v>
      </c>
      <c r="F61" s="2">
        <v>1</v>
      </c>
      <c r="H61" s="2">
        <v>1</v>
      </c>
      <c r="L61" s="2">
        <v>1</v>
      </c>
      <c r="P61" s="2">
        <v>1</v>
      </c>
      <c r="R61" s="2">
        <f t="shared" si="0"/>
        <v>4</v>
      </c>
    </row>
    <row r="62" spans="1:18" x14ac:dyDescent="0.3">
      <c r="A62" s="2" t="str">
        <f t="shared" si="1"/>
        <v>食品科學系食品科學組</v>
      </c>
      <c r="B62" s="2" t="str">
        <f>"00839051"</f>
        <v>00839051</v>
      </c>
      <c r="C62" s="2" t="str">
        <f>"盛美麗"</f>
        <v>盛美麗</v>
      </c>
      <c r="R62" s="2">
        <f t="shared" si="0"/>
        <v>0</v>
      </c>
    </row>
    <row r="63" spans="1:18" x14ac:dyDescent="0.3">
      <c r="A63" s="2" t="str">
        <f t="shared" si="1"/>
        <v>食品科學系食品科學組</v>
      </c>
      <c r="B63" s="2" t="str">
        <f>"00839052"</f>
        <v>00839052</v>
      </c>
      <c r="C63" s="2" t="str">
        <f>"戴鱺萱"</f>
        <v>戴鱺萱</v>
      </c>
      <c r="R63" s="2">
        <f t="shared" si="0"/>
        <v>0</v>
      </c>
    </row>
    <row r="64" spans="1:18" x14ac:dyDescent="0.3">
      <c r="A64" s="2" t="str">
        <f t="shared" si="1"/>
        <v>食品科學系食品科學組</v>
      </c>
      <c r="B64" s="2" t="str">
        <f>"00839053"</f>
        <v>00839053</v>
      </c>
      <c r="C64" s="2" t="str">
        <f>"孫方靖"</f>
        <v>孫方靖</v>
      </c>
      <c r="R64" s="2">
        <f t="shared" si="0"/>
        <v>0</v>
      </c>
    </row>
    <row r="65" spans="1:18" x14ac:dyDescent="0.3">
      <c r="A65" s="2" t="str">
        <f t="shared" si="1"/>
        <v>食品科學系食品科學組</v>
      </c>
      <c r="B65" s="2" t="str">
        <f>"00839054"</f>
        <v>00839054</v>
      </c>
      <c r="C65" s="2" t="str">
        <f>"蕭莉玟"</f>
        <v>蕭莉玟</v>
      </c>
      <c r="R65" s="2">
        <f t="shared" si="0"/>
        <v>0</v>
      </c>
    </row>
    <row r="66" spans="1:18" x14ac:dyDescent="0.3">
      <c r="A66" s="2" t="str">
        <f t="shared" si="1"/>
        <v>食品科學系食品科學組</v>
      </c>
      <c r="B66" s="2" t="str">
        <f>"00839055"</f>
        <v>00839055</v>
      </c>
      <c r="C66" s="2" t="str">
        <f>"陳佳蔚"</f>
        <v>陳佳蔚</v>
      </c>
      <c r="R66" s="2">
        <f t="shared" si="0"/>
        <v>0</v>
      </c>
    </row>
    <row r="67" spans="1:18" x14ac:dyDescent="0.3">
      <c r="A67" s="2" t="str">
        <f t="shared" si="1"/>
        <v>食品科學系食品科學組</v>
      </c>
      <c r="B67" s="2" t="str">
        <f>"00839056"</f>
        <v>00839056</v>
      </c>
      <c r="C67" s="2" t="str">
        <f>"彭靈素"</f>
        <v>彭靈素</v>
      </c>
      <c r="R67" s="2">
        <f t="shared" si="0"/>
        <v>0</v>
      </c>
    </row>
    <row r="68" spans="1:18" x14ac:dyDescent="0.3">
      <c r="A68" s="2" t="str">
        <f t="shared" si="1"/>
        <v>食品科學系食品科學組</v>
      </c>
      <c r="B68" s="2" t="str">
        <f>"00839057"</f>
        <v>00839057</v>
      </c>
      <c r="C68" s="2" t="str">
        <f>"伯如玉"</f>
        <v>伯如玉</v>
      </c>
      <c r="O68" s="2">
        <v>1</v>
      </c>
      <c r="R68" s="2">
        <f t="shared" ref="R68:R123" si="2">SUM(D68:Q68)</f>
        <v>1</v>
      </c>
    </row>
    <row r="69" spans="1:18" x14ac:dyDescent="0.3">
      <c r="A69" s="2" t="str">
        <f t="shared" si="1"/>
        <v>食品科學系食品科學組</v>
      </c>
      <c r="B69" s="2" t="str">
        <f>"00839058"</f>
        <v>00839058</v>
      </c>
      <c r="C69" s="2" t="str">
        <f>"薛慧蘭"</f>
        <v>薛慧蘭</v>
      </c>
      <c r="F69" s="2">
        <v>1</v>
      </c>
      <c r="H69" s="2">
        <v>1</v>
      </c>
      <c r="L69" s="2">
        <v>1</v>
      </c>
      <c r="P69" s="2">
        <v>1</v>
      </c>
      <c r="R69" s="2">
        <f t="shared" si="2"/>
        <v>4</v>
      </c>
    </row>
    <row r="70" spans="1:18" x14ac:dyDescent="0.3">
      <c r="A70" s="2" t="str">
        <f t="shared" si="1"/>
        <v>食品科學系食品科學組</v>
      </c>
      <c r="B70" s="2" t="str">
        <f>"00839059"</f>
        <v>00839059</v>
      </c>
      <c r="C70" s="2" t="str">
        <f>"陳嫄圓"</f>
        <v>陳嫄圓</v>
      </c>
      <c r="R70" s="2">
        <f t="shared" si="2"/>
        <v>0</v>
      </c>
    </row>
    <row r="71" spans="1:18" x14ac:dyDescent="0.3">
      <c r="A71" s="2" t="str">
        <f t="shared" si="1"/>
        <v>食品科學系食品科學組</v>
      </c>
      <c r="B71" s="2" t="str">
        <f>"00839060"</f>
        <v>00839060</v>
      </c>
      <c r="C71" s="2" t="str">
        <f>"區瑆栗"</f>
        <v>區瑆栗</v>
      </c>
      <c r="F71" s="2">
        <v>1</v>
      </c>
      <c r="H71" s="2">
        <v>1</v>
      </c>
      <c r="L71" s="2">
        <v>1</v>
      </c>
      <c r="R71" s="2">
        <f t="shared" si="2"/>
        <v>3</v>
      </c>
    </row>
    <row r="72" spans="1:18" x14ac:dyDescent="0.3">
      <c r="A72" s="2" t="str">
        <f t="shared" si="1"/>
        <v>食品科學系食品科學組</v>
      </c>
      <c r="B72" s="2" t="str">
        <f>"00839061"</f>
        <v>00839061</v>
      </c>
      <c r="C72" s="2" t="str">
        <f>"鄭惠文"</f>
        <v>鄭惠文</v>
      </c>
      <c r="L72" s="2">
        <v>1</v>
      </c>
      <c r="R72" s="2">
        <f t="shared" si="2"/>
        <v>1</v>
      </c>
    </row>
    <row r="73" spans="1:18" x14ac:dyDescent="0.3">
      <c r="A73" s="2" t="str">
        <f t="shared" si="1"/>
        <v>食品科學系食品科學組</v>
      </c>
      <c r="B73" s="2" t="str">
        <f>"00839062"</f>
        <v>00839062</v>
      </c>
      <c r="C73" s="2" t="str">
        <f>"關方銀"</f>
        <v>關方銀</v>
      </c>
      <c r="F73" s="2">
        <v>1</v>
      </c>
      <c r="H73" s="2">
        <v>1</v>
      </c>
      <c r="L73" s="2">
        <v>1</v>
      </c>
      <c r="R73" s="2">
        <f t="shared" si="2"/>
        <v>3</v>
      </c>
    </row>
    <row r="74" spans="1:18" x14ac:dyDescent="0.3">
      <c r="A74" s="2" t="str">
        <f t="shared" si="1"/>
        <v>食品科學系食品科學組</v>
      </c>
      <c r="B74" s="2" t="str">
        <f>"00839063"</f>
        <v>00839063</v>
      </c>
      <c r="C74" s="2" t="str">
        <f>"李唯暢"</f>
        <v>李唯暢</v>
      </c>
      <c r="E74" s="2">
        <v>1</v>
      </c>
      <c r="G74" s="2">
        <v>1</v>
      </c>
      <c r="O74" s="2">
        <v>1</v>
      </c>
      <c r="R74" s="2">
        <f t="shared" si="2"/>
        <v>3</v>
      </c>
    </row>
    <row r="75" spans="1:18" x14ac:dyDescent="0.3">
      <c r="A75" s="2" t="str">
        <f t="shared" ref="A75:A123" si="3">"食品科學系生物科技組"</f>
        <v>食品科學系生物科技組</v>
      </c>
      <c r="B75" s="2" t="str">
        <f>"0083A001"</f>
        <v>0083A001</v>
      </c>
      <c r="C75" s="2" t="str">
        <f>"廖柏源"</f>
        <v>廖柏源</v>
      </c>
      <c r="J75" s="2">
        <v>1</v>
      </c>
      <c r="R75" s="2">
        <f t="shared" si="2"/>
        <v>1</v>
      </c>
    </row>
    <row r="76" spans="1:18" x14ac:dyDescent="0.3">
      <c r="A76" s="2" t="str">
        <f t="shared" si="3"/>
        <v>食品科學系生物科技組</v>
      </c>
      <c r="B76" s="2" t="str">
        <f>"0083A002"</f>
        <v>0083A002</v>
      </c>
      <c r="C76" s="2" t="str">
        <f>"陳品妤"</f>
        <v>陳品妤</v>
      </c>
      <c r="R76" s="2">
        <f t="shared" si="2"/>
        <v>0</v>
      </c>
    </row>
    <row r="77" spans="1:18" x14ac:dyDescent="0.3">
      <c r="A77" s="2" t="str">
        <f t="shared" si="3"/>
        <v>食品科學系生物科技組</v>
      </c>
      <c r="B77" s="2" t="str">
        <f>"0083A003"</f>
        <v>0083A003</v>
      </c>
      <c r="C77" s="2" t="str">
        <f>"劉?恩"</f>
        <v>劉?恩</v>
      </c>
      <c r="R77" s="2">
        <f t="shared" si="2"/>
        <v>0</v>
      </c>
    </row>
    <row r="78" spans="1:18" x14ac:dyDescent="0.3">
      <c r="A78" s="2" t="str">
        <f t="shared" si="3"/>
        <v>食品科學系生物科技組</v>
      </c>
      <c r="B78" s="2" t="str">
        <f>"0083A004"</f>
        <v>0083A004</v>
      </c>
      <c r="C78" s="2" t="str">
        <f>"王子玫"</f>
        <v>王子玫</v>
      </c>
      <c r="R78" s="2">
        <f t="shared" si="2"/>
        <v>0</v>
      </c>
    </row>
    <row r="79" spans="1:18" x14ac:dyDescent="0.3">
      <c r="A79" s="2" t="str">
        <f t="shared" si="3"/>
        <v>食品科學系生物科技組</v>
      </c>
      <c r="B79" s="2" t="str">
        <f>"0083A005"</f>
        <v>0083A005</v>
      </c>
      <c r="C79" s="2" t="str">
        <f>"許芷菱"</f>
        <v>許芷菱</v>
      </c>
      <c r="E79" s="2">
        <v>1</v>
      </c>
      <c r="G79" s="2">
        <v>1</v>
      </c>
      <c r="K79" s="2">
        <v>1</v>
      </c>
      <c r="O79" s="2">
        <v>1</v>
      </c>
      <c r="R79" s="2">
        <f t="shared" si="2"/>
        <v>4</v>
      </c>
    </row>
    <row r="80" spans="1:18" x14ac:dyDescent="0.3">
      <c r="A80" s="2" t="str">
        <f t="shared" si="3"/>
        <v>食品科學系生物科技組</v>
      </c>
      <c r="B80" s="2" t="str">
        <f>"0083A006"</f>
        <v>0083A006</v>
      </c>
      <c r="C80" s="2" t="str">
        <f>"劉憬霓"</f>
        <v>劉憬霓</v>
      </c>
      <c r="R80" s="2">
        <f t="shared" si="2"/>
        <v>0</v>
      </c>
    </row>
    <row r="81" spans="1:18" x14ac:dyDescent="0.3">
      <c r="A81" s="2" t="str">
        <f t="shared" si="3"/>
        <v>食品科學系生物科技組</v>
      </c>
      <c r="B81" s="2" t="str">
        <f>"0083A007"</f>
        <v>0083A007</v>
      </c>
      <c r="C81" s="2" t="str">
        <f>"王歆語"</f>
        <v>王歆語</v>
      </c>
      <c r="E81" s="2">
        <v>1</v>
      </c>
      <c r="K81" s="2">
        <v>1</v>
      </c>
      <c r="O81" s="2">
        <v>1</v>
      </c>
      <c r="R81" s="2">
        <f t="shared" si="2"/>
        <v>3</v>
      </c>
    </row>
    <row r="82" spans="1:18" x14ac:dyDescent="0.3">
      <c r="A82" s="2" t="str">
        <f t="shared" si="3"/>
        <v>食品科學系生物科技組</v>
      </c>
      <c r="B82" s="2" t="str">
        <f>"0083A008"</f>
        <v>0083A008</v>
      </c>
      <c r="C82" s="2" t="str">
        <f>"陳凌安"</f>
        <v>陳凌安</v>
      </c>
      <c r="F82" s="2">
        <v>1</v>
      </c>
      <c r="J82" s="2">
        <v>1</v>
      </c>
      <c r="N82" s="2">
        <v>1</v>
      </c>
      <c r="R82" s="2">
        <f t="shared" si="2"/>
        <v>3</v>
      </c>
    </row>
    <row r="83" spans="1:18" x14ac:dyDescent="0.3">
      <c r="A83" s="2" t="str">
        <f t="shared" si="3"/>
        <v>食品科學系生物科技組</v>
      </c>
      <c r="B83" s="2" t="str">
        <f>"0083A009"</f>
        <v>0083A009</v>
      </c>
      <c r="C83" s="2" t="str">
        <f>"楊天瑋"</f>
        <v>楊天瑋</v>
      </c>
      <c r="R83" s="2">
        <f t="shared" si="2"/>
        <v>0</v>
      </c>
    </row>
    <row r="84" spans="1:18" x14ac:dyDescent="0.3">
      <c r="A84" s="2" t="str">
        <f t="shared" si="3"/>
        <v>食品科學系生物科技組</v>
      </c>
      <c r="B84" s="2" t="str">
        <f>"0083A010"</f>
        <v>0083A010</v>
      </c>
      <c r="C84" s="2" t="str">
        <f>"廖柔茜"</f>
        <v>廖柔茜</v>
      </c>
      <c r="E84" s="2">
        <v>1</v>
      </c>
      <c r="G84" s="2">
        <v>1</v>
      </c>
      <c r="K84" s="2">
        <v>1</v>
      </c>
      <c r="O84" s="2">
        <v>1</v>
      </c>
      <c r="R84" s="2">
        <f t="shared" si="2"/>
        <v>4</v>
      </c>
    </row>
    <row r="85" spans="1:18" x14ac:dyDescent="0.3">
      <c r="A85" s="2" t="str">
        <f t="shared" si="3"/>
        <v>食品科學系生物科技組</v>
      </c>
      <c r="B85" s="2" t="str">
        <f>"0083A011"</f>
        <v>0083A011</v>
      </c>
      <c r="C85" s="2" t="str">
        <f>"蔡華玲"</f>
        <v>蔡華玲</v>
      </c>
      <c r="R85" s="2">
        <f t="shared" si="2"/>
        <v>0</v>
      </c>
    </row>
    <row r="86" spans="1:18" x14ac:dyDescent="0.3">
      <c r="A86" s="2" t="str">
        <f t="shared" si="3"/>
        <v>食品科學系生物科技組</v>
      </c>
      <c r="B86" s="2" t="str">
        <f>"0083A012"</f>
        <v>0083A012</v>
      </c>
      <c r="C86" s="2" t="str">
        <f>"吳欣穎"</f>
        <v>吳欣穎</v>
      </c>
      <c r="E86" s="2">
        <v>1</v>
      </c>
      <c r="K86" s="2">
        <v>1</v>
      </c>
      <c r="O86" s="2">
        <v>1</v>
      </c>
      <c r="R86" s="2">
        <f t="shared" si="2"/>
        <v>3</v>
      </c>
    </row>
    <row r="87" spans="1:18" x14ac:dyDescent="0.3">
      <c r="A87" s="2" t="str">
        <f t="shared" si="3"/>
        <v>食品科學系生物科技組</v>
      </c>
      <c r="B87" s="2" t="str">
        <f>"0083A013"</f>
        <v>0083A013</v>
      </c>
      <c r="C87" s="2" t="str">
        <f>"李偉誠"</f>
        <v>李偉誠</v>
      </c>
      <c r="E87" s="2">
        <v>1</v>
      </c>
      <c r="G87" s="2">
        <v>1</v>
      </c>
      <c r="K87" s="2">
        <v>1</v>
      </c>
      <c r="O87" s="2">
        <v>1</v>
      </c>
      <c r="R87" s="2">
        <f t="shared" si="2"/>
        <v>4</v>
      </c>
    </row>
    <row r="88" spans="1:18" x14ac:dyDescent="0.3">
      <c r="A88" s="2" t="str">
        <f t="shared" si="3"/>
        <v>食品科學系生物科技組</v>
      </c>
      <c r="B88" s="2" t="str">
        <f>"0083A014"</f>
        <v>0083A014</v>
      </c>
      <c r="C88" s="2" t="str">
        <f>"趙斌全"</f>
        <v>趙斌全</v>
      </c>
      <c r="E88" s="2">
        <v>1</v>
      </c>
      <c r="G88" s="2">
        <v>1</v>
      </c>
      <c r="K88" s="2">
        <v>1</v>
      </c>
      <c r="O88" s="2">
        <v>1</v>
      </c>
      <c r="R88" s="2">
        <f t="shared" si="2"/>
        <v>4</v>
      </c>
    </row>
    <row r="89" spans="1:18" x14ac:dyDescent="0.3">
      <c r="A89" s="2" t="str">
        <f t="shared" si="3"/>
        <v>食品科學系生物科技組</v>
      </c>
      <c r="B89" s="2" t="str">
        <f>"0083A015"</f>
        <v>0083A015</v>
      </c>
      <c r="C89" s="2" t="str">
        <f>"江姍"</f>
        <v>江姍</v>
      </c>
      <c r="G89" s="2">
        <v>1</v>
      </c>
      <c r="O89" s="2">
        <v>1</v>
      </c>
      <c r="R89" s="2">
        <f t="shared" si="2"/>
        <v>2</v>
      </c>
    </row>
    <row r="90" spans="1:18" x14ac:dyDescent="0.3">
      <c r="A90" s="2" t="str">
        <f t="shared" si="3"/>
        <v>食品科學系生物科技組</v>
      </c>
      <c r="B90" s="2" t="str">
        <f>"0083A016"</f>
        <v>0083A016</v>
      </c>
      <c r="C90" s="2" t="str">
        <f>"李岢臻"</f>
        <v>李岢臻</v>
      </c>
      <c r="E90" s="2">
        <v>1</v>
      </c>
      <c r="G90" s="2">
        <v>1</v>
      </c>
      <c r="R90" s="2">
        <f t="shared" si="2"/>
        <v>2</v>
      </c>
    </row>
    <row r="91" spans="1:18" x14ac:dyDescent="0.3">
      <c r="A91" s="2" t="str">
        <f t="shared" si="3"/>
        <v>食品科學系生物科技組</v>
      </c>
      <c r="B91" s="2" t="str">
        <f>"0083A017"</f>
        <v>0083A017</v>
      </c>
      <c r="C91" s="2" t="str">
        <f>"陳粹"</f>
        <v>陳粹</v>
      </c>
      <c r="I91" s="2">
        <v>1</v>
      </c>
      <c r="R91" s="2">
        <f t="shared" si="2"/>
        <v>1</v>
      </c>
    </row>
    <row r="92" spans="1:18" x14ac:dyDescent="0.3">
      <c r="A92" s="2" t="str">
        <f t="shared" si="3"/>
        <v>食品科學系生物科技組</v>
      </c>
      <c r="B92" s="2" t="str">
        <f>"0083A018"</f>
        <v>0083A018</v>
      </c>
      <c r="C92" s="2" t="str">
        <f>"林力欣"</f>
        <v>林力欣</v>
      </c>
      <c r="F92" s="2">
        <v>1</v>
      </c>
      <c r="J92" s="2">
        <v>1</v>
      </c>
      <c r="R92" s="2">
        <f t="shared" si="2"/>
        <v>2</v>
      </c>
    </row>
    <row r="93" spans="1:18" x14ac:dyDescent="0.3">
      <c r="A93" s="2" t="str">
        <f t="shared" si="3"/>
        <v>食品科學系生物科技組</v>
      </c>
      <c r="B93" s="2" t="str">
        <f>"0083A019"</f>
        <v>0083A019</v>
      </c>
      <c r="C93" s="2" t="str">
        <f>"桑允禕"</f>
        <v>桑允禕</v>
      </c>
      <c r="F93" s="2">
        <v>1</v>
      </c>
      <c r="J93" s="2">
        <v>1</v>
      </c>
      <c r="N93" s="2">
        <v>1</v>
      </c>
      <c r="R93" s="2">
        <f t="shared" si="2"/>
        <v>3</v>
      </c>
    </row>
    <row r="94" spans="1:18" x14ac:dyDescent="0.3">
      <c r="A94" s="2" t="str">
        <f t="shared" si="3"/>
        <v>食品科學系生物科技組</v>
      </c>
      <c r="B94" s="2" t="str">
        <f>"0083A020"</f>
        <v>0083A020</v>
      </c>
      <c r="C94" s="2" t="str">
        <f>"劉承賢"</f>
        <v>劉承賢</v>
      </c>
      <c r="R94" s="2">
        <f t="shared" si="2"/>
        <v>0</v>
      </c>
    </row>
    <row r="95" spans="1:18" x14ac:dyDescent="0.3">
      <c r="A95" s="2" t="s">
        <v>0</v>
      </c>
      <c r="B95" s="2" t="s">
        <v>1</v>
      </c>
      <c r="C95" s="2" t="s">
        <v>2</v>
      </c>
      <c r="D95" s="3" t="s">
        <v>18</v>
      </c>
      <c r="E95" s="4" t="s">
        <v>19</v>
      </c>
      <c r="F95" s="4" t="s">
        <v>31</v>
      </c>
      <c r="G95" s="4" t="s">
        <v>20</v>
      </c>
      <c r="H95" s="4" t="s">
        <v>21</v>
      </c>
      <c r="I95" s="4" t="s">
        <v>22</v>
      </c>
      <c r="J95" s="4" t="s">
        <v>23</v>
      </c>
      <c r="K95" s="4" t="s">
        <v>24</v>
      </c>
      <c r="L95" s="4" t="s">
        <v>25</v>
      </c>
      <c r="M95" s="4" t="s">
        <v>26</v>
      </c>
      <c r="N95" s="4" t="s">
        <v>27</v>
      </c>
      <c r="O95" s="4" t="s">
        <v>28</v>
      </c>
      <c r="P95" s="4" t="s">
        <v>29</v>
      </c>
      <c r="Q95" s="4" t="s">
        <v>30</v>
      </c>
      <c r="R95" s="1" t="s">
        <v>3</v>
      </c>
    </row>
    <row r="96" spans="1:18" x14ac:dyDescent="0.3">
      <c r="A96" s="2" t="str">
        <f t="shared" si="3"/>
        <v>食品科學系生物科技組</v>
      </c>
      <c r="B96" s="2" t="str">
        <f>"0083A021"</f>
        <v>0083A021</v>
      </c>
      <c r="C96" s="2" t="str">
        <f>"林于彤"</f>
        <v>林于彤</v>
      </c>
      <c r="R96" s="2">
        <f t="shared" si="2"/>
        <v>0</v>
      </c>
    </row>
    <row r="97" spans="1:18" x14ac:dyDescent="0.3">
      <c r="A97" s="2" t="str">
        <f t="shared" si="3"/>
        <v>食品科學系生物科技組</v>
      </c>
      <c r="B97" s="2" t="str">
        <f>"0083A022"</f>
        <v>0083A022</v>
      </c>
      <c r="C97" s="2" t="str">
        <f>"呂旭崴"</f>
        <v>呂旭崴</v>
      </c>
      <c r="R97" s="2">
        <f t="shared" si="2"/>
        <v>0</v>
      </c>
    </row>
    <row r="98" spans="1:18" x14ac:dyDescent="0.3">
      <c r="A98" s="2" t="str">
        <f t="shared" si="3"/>
        <v>食品科學系生物科技組</v>
      </c>
      <c r="B98" s="2" t="str">
        <f>"0083A023"</f>
        <v>0083A023</v>
      </c>
      <c r="C98" s="2" t="str">
        <f>"盧冠穎"</f>
        <v>盧冠穎</v>
      </c>
      <c r="F98" s="2">
        <v>1</v>
      </c>
      <c r="J98" s="2">
        <v>1</v>
      </c>
      <c r="K98" s="2">
        <v>1</v>
      </c>
      <c r="R98" s="2">
        <f t="shared" si="2"/>
        <v>3</v>
      </c>
    </row>
    <row r="99" spans="1:18" x14ac:dyDescent="0.3">
      <c r="A99" s="2" t="str">
        <f t="shared" si="3"/>
        <v>食品科學系生物科技組</v>
      </c>
      <c r="B99" s="2" t="str">
        <f>"0083A024"</f>
        <v>0083A024</v>
      </c>
      <c r="C99" s="2" t="str">
        <f>"鄭佳慧"</f>
        <v>鄭佳慧</v>
      </c>
      <c r="R99" s="2">
        <f t="shared" si="2"/>
        <v>0</v>
      </c>
    </row>
    <row r="100" spans="1:18" x14ac:dyDescent="0.3">
      <c r="A100" s="2" t="str">
        <f t="shared" si="3"/>
        <v>食品科學系生物科技組</v>
      </c>
      <c r="B100" s="2" t="str">
        <f>"0083A025"</f>
        <v>0083A025</v>
      </c>
      <c r="C100" s="2" t="str">
        <f>"潘雅玲"</f>
        <v>潘雅玲</v>
      </c>
      <c r="I100" s="2">
        <v>1</v>
      </c>
      <c r="R100" s="2">
        <f t="shared" si="2"/>
        <v>1</v>
      </c>
    </row>
    <row r="101" spans="1:18" x14ac:dyDescent="0.3">
      <c r="A101" s="2" t="str">
        <f t="shared" si="3"/>
        <v>食品科學系生物科技組</v>
      </c>
      <c r="B101" s="2" t="str">
        <f>"0083A026"</f>
        <v>0083A026</v>
      </c>
      <c r="C101" s="2" t="str">
        <f>"周妤柔"</f>
        <v>周妤柔</v>
      </c>
      <c r="E101" s="2">
        <v>1</v>
      </c>
      <c r="G101" s="2">
        <v>1</v>
      </c>
      <c r="K101" s="2">
        <v>1</v>
      </c>
      <c r="O101" s="2">
        <v>1</v>
      </c>
      <c r="R101" s="2">
        <f t="shared" si="2"/>
        <v>4</v>
      </c>
    </row>
    <row r="102" spans="1:18" x14ac:dyDescent="0.3">
      <c r="A102" s="2" t="str">
        <f t="shared" si="3"/>
        <v>食品科學系生物科技組</v>
      </c>
      <c r="B102" s="2" t="str">
        <f>"0083A027"</f>
        <v>0083A027</v>
      </c>
      <c r="C102" s="2" t="str">
        <f>"劉鎮宇"</f>
        <v>劉鎮宇</v>
      </c>
      <c r="K102" s="2">
        <v>1</v>
      </c>
      <c r="R102" s="2">
        <f t="shared" si="2"/>
        <v>1</v>
      </c>
    </row>
    <row r="103" spans="1:18" x14ac:dyDescent="0.3">
      <c r="A103" s="2" t="str">
        <f t="shared" si="3"/>
        <v>食品科學系生物科技組</v>
      </c>
      <c r="B103" s="2" t="str">
        <f>"0083A028"</f>
        <v>0083A028</v>
      </c>
      <c r="C103" s="2" t="str">
        <f>"張可璇"</f>
        <v>張可璇</v>
      </c>
      <c r="E103" s="2">
        <v>1</v>
      </c>
      <c r="G103" s="2">
        <v>1</v>
      </c>
      <c r="K103" s="2">
        <v>1</v>
      </c>
      <c r="O103" s="2">
        <v>1</v>
      </c>
      <c r="R103" s="2">
        <f t="shared" si="2"/>
        <v>4</v>
      </c>
    </row>
    <row r="104" spans="1:18" x14ac:dyDescent="0.3">
      <c r="A104" s="2" t="str">
        <f t="shared" si="3"/>
        <v>食品科學系生物科技組</v>
      </c>
      <c r="B104" s="2" t="str">
        <f>"0083A029"</f>
        <v>0083A029</v>
      </c>
      <c r="C104" s="2" t="str">
        <f>"林有晨"</f>
        <v>林有晨</v>
      </c>
      <c r="R104" s="2">
        <f t="shared" si="2"/>
        <v>0</v>
      </c>
    </row>
    <row r="105" spans="1:18" x14ac:dyDescent="0.3">
      <c r="A105" s="2" t="str">
        <f t="shared" si="3"/>
        <v>食品科學系生物科技組</v>
      </c>
      <c r="B105" s="2" t="str">
        <f>"0083A030"</f>
        <v>0083A030</v>
      </c>
      <c r="C105" s="2" t="str">
        <f>"莊庭瑜"</f>
        <v>莊庭瑜</v>
      </c>
      <c r="E105" s="2">
        <v>1</v>
      </c>
      <c r="G105" s="2">
        <v>1</v>
      </c>
      <c r="K105" s="2">
        <v>1</v>
      </c>
      <c r="O105" s="2">
        <v>1</v>
      </c>
      <c r="R105" s="2">
        <f t="shared" si="2"/>
        <v>4</v>
      </c>
    </row>
    <row r="106" spans="1:18" x14ac:dyDescent="0.3">
      <c r="A106" s="2" t="str">
        <f t="shared" si="3"/>
        <v>食品科學系生物科技組</v>
      </c>
      <c r="B106" s="2" t="str">
        <f>"0083A031"</f>
        <v>0083A031</v>
      </c>
      <c r="C106" s="2" t="str">
        <f>"郭芷妤"</f>
        <v>郭芷妤</v>
      </c>
      <c r="F106" s="2">
        <v>1</v>
      </c>
      <c r="G106" s="2">
        <v>1</v>
      </c>
      <c r="K106" s="2">
        <v>1</v>
      </c>
      <c r="O106" s="2">
        <v>1</v>
      </c>
      <c r="R106" s="2">
        <f t="shared" si="2"/>
        <v>4</v>
      </c>
    </row>
    <row r="107" spans="1:18" x14ac:dyDescent="0.3">
      <c r="A107" s="2" t="str">
        <f t="shared" si="3"/>
        <v>食品科學系生物科技組</v>
      </c>
      <c r="B107" s="2" t="str">
        <f>"0083A032"</f>
        <v>0083A032</v>
      </c>
      <c r="C107" s="2" t="str">
        <f>"李欣儒"</f>
        <v>李欣儒</v>
      </c>
      <c r="R107" s="2">
        <f t="shared" si="2"/>
        <v>0</v>
      </c>
    </row>
    <row r="108" spans="1:18" x14ac:dyDescent="0.3">
      <c r="A108" s="2" t="str">
        <f t="shared" si="3"/>
        <v>食品科學系生物科技組</v>
      </c>
      <c r="B108" s="2" t="str">
        <f>"0083A033"</f>
        <v>0083A033</v>
      </c>
      <c r="C108" s="2" t="str">
        <f>"黃思綺"</f>
        <v>黃思綺</v>
      </c>
      <c r="R108" s="2">
        <f t="shared" si="2"/>
        <v>0</v>
      </c>
    </row>
    <row r="109" spans="1:18" x14ac:dyDescent="0.3">
      <c r="A109" s="2" t="str">
        <f t="shared" si="3"/>
        <v>食品科學系生物科技組</v>
      </c>
      <c r="B109" s="2" t="str">
        <f>"0083A034"</f>
        <v>0083A034</v>
      </c>
      <c r="C109" s="2" t="str">
        <f>"杜庭妤"</f>
        <v>杜庭妤</v>
      </c>
      <c r="R109" s="2">
        <f t="shared" si="2"/>
        <v>0</v>
      </c>
    </row>
    <row r="110" spans="1:18" x14ac:dyDescent="0.3">
      <c r="A110" s="2" t="str">
        <f t="shared" si="3"/>
        <v>食品科學系生物科技組</v>
      </c>
      <c r="B110" s="2" t="str">
        <f>"0083A035"</f>
        <v>0083A035</v>
      </c>
      <c r="C110" s="2" t="str">
        <f>"趙偉辰"</f>
        <v>趙偉辰</v>
      </c>
      <c r="E110" s="2">
        <v>1</v>
      </c>
      <c r="G110" s="2">
        <v>1</v>
      </c>
      <c r="K110" s="2">
        <v>1</v>
      </c>
      <c r="O110" s="2">
        <v>1</v>
      </c>
      <c r="R110" s="2">
        <f t="shared" si="2"/>
        <v>4</v>
      </c>
    </row>
    <row r="111" spans="1:18" x14ac:dyDescent="0.3">
      <c r="A111" s="2" t="str">
        <f t="shared" si="3"/>
        <v>食品科學系生物科技組</v>
      </c>
      <c r="B111" s="2" t="str">
        <f>"0083A036"</f>
        <v>0083A036</v>
      </c>
      <c r="C111" s="2" t="str">
        <f>"方詩媛"</f>
        <v>方詩媛</v>
      </c>
      <c r="R111" s="2">
        <f t="shared" si="2"/>
        <v>0</v>
      </c>
    </row>
    <row r="112" spans="1:18" x14ac:dyDescent="0.3">
      <c r="A112" s="2" t="str">
        <f t="shared" si="3"/>
        <v>食品科學系生物科技組</v>
      </c>
      <c r="B112" s="2" t="str">
        <f>"0083A037"</f>
        <v>0083A037</v>
      </c>
      <c r="C112" s="2" t="str">
        <f>"潘虹君"</f>
        <v>潘虹君</v>
      </c>
      <c r="R112" s="2">
        <f t="shared" si="2"/>
        <v>0</v>
      </c>
    </row>
    <row r="113" spans="1:18" x14ac:dyDescent="0.3">
      <c r="A113" s="2" t="str">
        <f t="shared" si="3"/>
        <v>食品科學系生物科技組</v>
      </c>
      <c r="B113" s="2" t="str">
        <f>"0083A038"</f>
        <v>0083A038</v>
      </c>
      <c r="C113" s="2" t="str">
        <f>"陳瑞均"</f>
        <v>陳瑞均</v>
      </c>
      <c r="J113" s="2">
        <v>1</v>
      </c>
      <c r="K113" s="2">
        <v>1</v>
      </c>
      <c r="R113" s="2">
        <f t="shared" si="2"/>
        <v>2</v>
      </c>
    </row>
    <row r="114" spans="1:18" x14ac:dyDescent="0.3">
      <c r="A114" s="2" t="str">
        <f t="shared" si="3"/>
        <v>食品科學系生物科技組</v>
      </c>
      <c r="B114" s="2" t="str">
        <f>"0083A039"</f>
        <v>0083A039</v>
      </c>
      <c r="C114" s="2" t="str">
        <f>"楊子渝"</f>
        <v>楊子渝</v>
      </c>
      <c r="F114" s="2">
        <v>1</v>
      </c>
      <c r="G114" s="2">
        <v>1</v>
      </c>
      <c r="K114" s="2">
        <v>1</v>
      </c>
      <c r="O114" s="2">
        <v>1</v>
      </c>
      <c r="R114" s="2">
        <f t="shared" si="2"/>
        <v>4</v>
      </c>
    </row>
    <row r="115" spans="1:18" x14ac:dyDescent="0.3">
      <c r="A115" s="2" t="str">
        <f t="shared" si="3"/>
        <v>食品科學系生物科技組</v>
      </c>
      <c r="B115" s="2" t="str">
        <f>"0083A040"</f>
        <v>0083A040</v>
      </c>
      <c r="C115" s="2" t="str">
        <f>"楊智翰"</f>
        <v>楊智翰</v>
      </c>
      <c r="R115" s="2">
        <f t="shared" si="2"/>
        <v>0</v>
      </c>
    </row>
    <row r="116" spans="1:18" x14ac:dyDescent="0.3">
      <c r="A116" s="2" t="str">
        <f t="shared" si="3"/>
        <v>食品科學系生物科技組</v>
      </c>
      <c r="B116" s="2" t="str">
        <f>"0083A041"</f>
        <v>0083A041</v>
      </c>
      <c r="C116" s="2" t="str">
        <f>"林盈朱"</f>
        <v>林盈朱</v>
      </c>
      <c r="R116" s="2">
        <f t="shared" si="2"/>
        <v>0</v>
      </c>
    </row>
    <row r="117" spans="1:18" x14ac:dyDescent="0.3">
      <c r="A117" s="2" t="str">
        <f t="shared" si="3"/>
        <v>食品科學系生物科技組</v>
      </c>
      <c r="B117" s="2" t="str">
        <f>"0083A042"</f>
        <v>0083A042</v>
      </c>
      <c r="C117" s="2" t="str">
        <f>"吳宥萱"</f>
        <v>吳宥萱</v>
      </c>
      <c r="R117" s="2">
        <f t="shared" si="2"/>
        <v>0</v>
      </c>
    </row>
    <row r="118" spans="1:18" x14ac:dyDescent="0.3">
      <c r="A118" s="2" t="str">
        <f t="shared" si="3"/>
        <v>食品科學系生物科技組</v>
      </c>
      <c r="B118" s="2" t="str">
        <f>"0083A043"</f>
        <v>0083A043</v>
      </c>
      <c r="C118" s="2" t="str">
        <f>"許佳琪"</f>
        <v>許佳琪</v>
      </c>
      <c r="E118" s="2">
        <v>1</v>
      </c>
      <c r="G118" s="2">
        <v>1</v>
      </c>
      <c r="K118" s="2">
        <v>1</v>
      </c>
      <c r="O118" s="2">
        <v>1</v>
      </c>
      <c r="R118" s="2">
        <f t="shared" si="2"/>
        <v>4</v>
      </c>
    </row>
    <row r="119" spans="1:18" x14ac:dyDescent="0.3">
      <c r="A119" s="2" t="str">
        <f t="shared" si="3"/>
        <v>食品科學系生物科技組</v>
      </c>
      <c r="B119" s="2" t="str">
        <f>"0083A044"</f>
        <v>0083A044</v>
      </c>
      <c r="C119" s="2" t="str">
        <f>"游凱勝"</f>
        <v>游凱勝</v>
      </c>
      <c r="O119" s="2">
        <v>1</v>
      </c>
      <c r="R119" s="2">
        <f t="shared" si="2"/>
        <v>1</v>
      </c>
    </row>
    <row r="120" spans="1:18" x14ac:dyDescent="0.3">
      <c r="A120" s="2" t="str">
        <f t="shared" si="3"/>
        <v>食品科學系生物科技組</v>
      </c>
      <c r="B120" s="2" t="str">
        <f>"0083A045"</f>
        <v>0083A045</v>
      </c>
      <c r="C120" s="2" t="str">
        <f>"丘鎮葦"</f>
        <v>丘鎮葦</v>
      </c>
      <c r="R120" s="2">
        <f t="shared" si="2"/>
        <v>0</v>
      </c>
    </row>
    <row r="121" spans="1:18" x14ac:dyDescent="0.3">
      <c r="A121" s="2" t="str">
        <f t="shared" si="3"/>
        <v>食品科學系生物科技組</v>
      </c>
      <c r="B121" s="2" t="str">
        <f>"0083A046"</f>
        <v>0083A046</v>
      </c>
      <c r="C121" s="2" t="str">
        <f>"陳婕茗"</f>
        <v>陳婕茗</v>
      </c>
      <c r="R121" s="2">
        <f t="shared" si="2"/>
        <v>0</v>
      </c>
    </row>
    <row r="122" spans="1:18" x14ac:dyDescent="0.3">
      <c r="A122" s="2" t="str">
        <f t="shared" si="3"/>
        <v>食品科學系生物科技組</v>
      </c>
      <c r="B122" s="2" t="str">
        <f>"0079E034"</f>
        <v>0079E034</v>
      </c>
      <c r="C122" s="2" t="s">
        <v>71</v>
      </c>
      <c r="F122" s="2">
        <v>1</v>
      </c>
      <c r="R122" s="2">
        <f t="shared" si="2"/>
        <v>1</v>
      </c>
    </row>
    <row r="123" spans="1:18" x14ac:dyDescent="0.3">
      <c r="A123" s="2" t="str">
        <f t="shared" si="3"/>
        <v>食品科學系生物科技組</v>
      </c>
      <c r="B123" s="2" t="str">
        <f>"00739031"</f>
        <v>00739031</v>
      </c>
      <c r="C123" s="2" t="s">
        <v>72</v>
      </c>
      <c r="H123" s="2">
        <v>1</v>
      </c>
      <c r="R123" s="2">
        <f t="shared" si="2"/>
        <v>1</v>
      </c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&amp;C1081化學補強教學出席率登記本</oddHeader>
    <oddFooter>&amp;A&amp;R第 &amp;P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07"/>
  <sheetViews>
    <sheetView view="pageLayout" topLeftCell="A96" zoomScale="96" zoomScaleNormal="100" zoomScalePageLayoutView="96" workbookViewId="0">
      <selection activeCell="A2" sqref="A2:R107"/>
    </sheetView>
  </sheetViews>
  <sheetFormatPr defaultColWidth="8.77734375" defaultRowHeight="16.2" x14ac:dyDescent="0.3"/>
  <cols>
    <col min="1" max="1" width="6.109375" style="2" customWidth="1"/>
    <col min="2" max="2" width="8.77734375" style="2"/>
    <col min="3" max="3" width="8" style="2" customWidth="1"/>
    <col min="4" max="18" width="4.6640625" style="2" customWidth="1"/>
    <col min="19" max="16384" width="8.77734375" style="2"/>
  </cols>
  <sheetData>
    <row r="2" spans="1:18" x14ac:dyDescent="0.3">
      <c r="A2" s="2" t="s">
        <v>0</v>
      </c>
      <c r="B2" s="2" t="s">
        <v>1</v>
      </c>
      <c r="C2" s="2" t="s">
        <v>2</v>
      </c>
      <c r="D2" s="3" t="s">
        <v>18</v>
      </c>
      <c r="E2" s="4" t="s">
        <v>19</v>
      </c>
      <c r="F2" s="4" t="s">
        <v>31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 t="s">
        <v>27</v>
      </c>
      <c r="O2" s="4" t="s">
        <v>28</v>
      </c>
      <c r="P2" s="4" t="s">
        <v>29</v>
      </c>
      <c r="Q2" s="4" t="s">
        <v>30</v>
      </c>
      <c r="R2" s="1" t="s">
        <v>3</v>
      </c>
    </row>
    <row r="3" spans="1:18" x14ac:dyDescent="0.3">
      <c r="A3" s="2" t="str">
        <f t="shared" ref="A3:A45" si="0">"輪機工程學系能源應用組"</f>
        <v>輪機工程學系能源應用組</v>
      </c>
      <c r="B3" s="2" t="str">
        <f>"0086A001"</f>
        <v>0086A001</v>
      </c>
      <c r="C3" s="2" t="str">
        <f>"陳聖介"</f>
        <v>陳聖介</v>
      </c>
      <c r="R3" s="2">
        <f>SUM(D3:Q3)</f>
        <v>0</v>
      </c>
    </row>
    <row r="4" spans="1:18" x14ac:dyDescent="0.3">
      <c r="A4" s="2" t="str">
        <f t="shared" si="0"/>
        <v>輪機工程學系能源應用組</v>
      </c>
      <c r="B4" s="2" t="str">
        <f>"0086A002"</f>
        <v>0086A002</v>
      </c>
      <c r="C4" s="2" t="str">
        <f>"徐子翔"</f>
        <v>徐子翔</v>
      </c>
      <c r="R4" s="2">
        <f t="shared" ref="R4:R67" si="1">SUM(D4:Q4)</f>
        <v>0</v>
      </c>
    </row>
    <row r="5" spans="1:18" x14ac:dyDescent="0.3">
      <c r="A5" s="2" t="str">
        <f t="shared" si="0"/>
        <v>輪機工程學系能源應用組</v>
      </c>
      <c r="B5" s="2" t="str">
        <f>"0086A003"</f>
        <v>0086A003</v>
      </c>
      <c r="C5" s="2" t="str">
        <f>"王宇聖"</f>
        <v>王宇聖</v>
      </c>
      <c r="R5" s="2">
        <f t="shared" si="1"/>
        <v>0</v>
      </c>
    </row>
    <row r="6" spans="1:18" x14ac:dyDescent="0.3">
      <c r="A6" s="2" t="str">
        <f t="shared" si="0"/>
        <v>輪機工程學系能源應用組</v>
      </c>
      <c r="B6" s="2" t="str">
        <f>"0086A004"</f>
        <v>0086A004</v>
      </c>
      <c r="C6" s="2" t="str">
        <f>"吳生寬"</f>
        <v>吳生寬</v>
      </c>
      <c r="R6" s="2">
        <f t="shared" si="1"/>
        <v>0</v>
      </c>
    </row>
    <row r="7" spans="1:18" x14ac:dyDescent="0.3">
      <c r="A7" s="2" t="str">
        <f t="shared" si="0"/>
        <v>輪機工程學系能源應用組</v>
      </c>
      <c r="B7" s="2" t="str">
        <f>"0086A005"</f>
        <v>0086A005</v>
      </c>
      <c r="C7" s="2" t="str">
        <f>"徐義勝"</f>
        <v>徐義勝</v>
      </c>
      <c r="R7" s="2">
        <f t="shared" si="1"/>
        <v>0</v>
      </c>
    </row>
    <row r="8" spans="1:18" x14ac:dyDescent="0.3">
      <c r="A8" s="2" t="str">
        <f t="shared" si="0"/>
        <v>輪機工程學系能源應用組</v>
      </c>
      <c r="B8" s="2" t="str">
        <f>"0086A006"</f>
        <v>0086A006</v>
      </c>
      <c r="C8" s="2" t="str">
        <f>"張宗騰"</f>
        <v>張宗騰</v>
      </c>
      <c r="R8" s="2">
        <f t="shared" si="1"/>
        <v>0</v>
      </c>
    </row>
    <row r="9" spans="1:18" x14ac:dyDescent="0.3">
      <c r="A9" s="2" t="str">
        <f t="shared" si="0"/>
        <v>輪機工程學系能源應用組</v>
      </c>
      <c r="B9" s="2" t="str">
        <f>"0086A007"</f>
        <v>0086A007</v>
      </c>
      <c r="C9" s="2" t="str">
        <f>"吳浩宇"</f>
        <v>吳浩宇</v>
      </c>
      <c r="R9" s="2">
        <f t="shared" si="1"/>
        <v>0</v>
      </c>
    </row>
    <row r="10" spans="1:18" x14ac:dyDescent="0.3">
      <c r="A10" s="2" t="str">
        <f t="shared" si="0"/>
        <v>輪機工程學系能源應用組</v>
      </c>
      <c r="B10" s="2" t="str">
        <f>"0086A008"</f>
        <v>0086A008</v>
      </c>
      <c r="C10" s="2" t="str">
        <f>"王宥鈞"</f>
        <v>王宥鈞</v>
      </c>
      <c r="R10" s="2">
        <f t="shared" si="1"/>
        <v>0</v>
      </c>
    </row>
    <row r="11" spans="1:18" x14ac:dyDescent="0.3">
      <c r="A11" s="2" t="str">
        <f t="shared" si="0"/>
        <v>輪機工程學系能源應用組</v>
      </c>
      <c r="B11" s="2" t="str">
        <f>"0086A009"</f>
        <v>0086A009</v>
      </c>
      <c r="C11" s="2" t="str">
        <f>"繆定謙"</f>
        <v>繆定謙</v>
      </c>
      <c r="R11" s="2">
        <f t="shared" si="1"/>
        <v>0</v>
      </c>
    </row>
    <row r="12" spans="1:18" x14ac:dyDescent="0.3">
      <c r="A12" s="2" t="str">
        <f t="shared" si="0"/>
        <v>輪機工程學系能源應用組</v>
      </c>
      <c r="B12" s="2" t="str">
        <f>"0086A010"</f>
        <v>0086A010</v>
      </c>
      <c r="C12" s="2" t="str">
        <f>"蔡捷?"</f>
        <v>蔡捷?</v>
      </c>
      <c r="R12" s="2">
        <f t="shared" si="1"/>
        <v>0</v>
      </c>
    </row>
    <row r="13" spans="1:18" x14ac:dyDescent="0.3">
      <c r="A13" s="2" t="str">
        <f t="shared" si="0"/>
        <v>輪機工程學系能源應用組</v>
      </c>
      <c r="B13" s="2" t="str">
        <f>"0086A011"</f>
        <v>0086A011</v>
      </c>
      <c r="C13" s="2" t="str">
        <f>"塗詠云"</f>
        <v>塗詠云</v>
      </c>
      <c r="R13" s="2">
        <f t="shared" si="1"/>
        <v>0</v>
      </c>
    </row>
    <row r="14" spans="1:18" x14ac:dyDescent="0.3">
      <c r="A14" s="2" t="str">
        <f t="shared" si="0"/>
        <v>輪機工程學系能源應用組</v>
      </c>
      <c r="B14" s="2" t="str">
        <f>"0086A012"</f>
        <v>0086A012</v>
      </c>
      <c r="C14" s="2" t="str">
        <f>"鄭宏瑋"</f>
        <v>鄭宏瑋</v>
      </c>
      <c r="R14" s="2">
        <f t="shared" si="1"/>
        <v>0</v>
      </c>
    </row>
    <row r="15" spans="1:18" x14ac:dyDescent="0.3">
      <c r="A15" s="2" t="str">
        <f t="shared" si="0"/>
        <v>輪機工程學系能源應用組</v>
      </c>
      <c r="B15" s="2" t="str">
        <f>"0086A013"</f>
        <v>0086A013</v>
      </c>
      <c r="C15" s="2" t="str">
        <f>"賴奕廷"</f>
        <v>賴奕廷</v>
      </c>
      <c r="R15" s="2">
        <f t="shared" si="1"/>
        <v>0</v>
      </c>
    </row>
    <row r="16" spans="1:18" x14ac:dyDescent="0.3">
      <c r="A16" s="2" t="str">
        <f t="shared" si="0"/>
        <v>輪機工程學系能源應用組</v>
      </c>
      <c r="B16" s="2" t="str">
        <f>"0086A014"</f>
        <v>0086A014</v>
      </c>
      <c r="C16" s="2" t="str">
        <f>"葉承翰"</f>
        <v>葉承翰</v>
      </c>
      <c r="R16" s="2">
        <f t="shared" si="1"/>
        <v>0</v>
      </c>
    </row>
    <row r="17" spans="1:18" x14ac:dyDescent="0.3">
      <c r="A17" s="2" t="str">
        <f t="shared" si="0"/>
        <v>輪機工程學系能源應用組</v>
      </c>
      <c r="B17" s="2" t="str">
        <f>"0086A015"</f>
        <v>0086A015</v>
      </c>
      <c r="C17" s="2" t="str">
        <f>"李承諺"</f>
        <v>李承諺</v>
      </c>
      <c r="G17" s="2">
        <v>1</v>
      </c>
      <c r="H17" s="2">
        <v>1</v>
      </c>
      <c r="I17" s="2">
        <v>1</v>
      </c>
      <c r="J17" s="2">
        <v>1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2">
        <f t="shared" si="1"/>
        <v>10</v>
      </c>
    </row>
    <row r="18" spans="1:18" x14ac:dyDescent="0.3">
      <c r="A18" s="2" t="str">
        <f t="shared" si="0"/>
        <v>輪機工程學系能源應用組</v>
      </c>
      <c r="B18" s="2" t="str">
        <f>"0086A016"</f>
        <v>0086A016</v>
      </c>
      <c r="C18" s="2" t="str">
        <f>"夏竑?"</f>
        <v>夏竑?</v>
      </c>
      <c r="R18" s="2">
        <f t="shared" si="1"/>
        <v>0</v>
      </c>
    </row>
    <row r="19" spans="1:18" x14ac:dyDescent="0.3">
      <c r="A19" s="2" t="str">
        <f t="shared" si="0"/>
        <v>輪機工程學系能源應用組</v>
      </c>
      <c r="B19" s="2" t="str">
        <f>"0086A017"</f>
        <v>0086A017</v>
      </c>
      <c r="C19" s="2" t="str">
        <f>"張景翔"</f>
        <v>張景翔</v>
      </c>
      <c r="R19" s="2">
        <f t="shared" si="1"/>
        <v>0</v>
      </c>
    </row>
    <row r="20" spans="1:18" x14ac:dyDescent="0.3">
      <c r="A20" s="2" t="str">
        <f t="shared" si="0"/>
        <v>輪機工程學系能源應用組</v>
      </c>
      <c r="B20" s="2" t="str">
        <f>"0086A018"</f>
        <v>0086A018</v>
      </c>
      <c r="C20" s="2" t="str">
        <f>"巫東諺"</f>
        <v>巫東諺</v>
      </c>
      <c r="R20" s="2">
        <f t="shared" si="1"/>
        <v>0</v>
      </c>
    </row>
    <row r="21" spans="1:18" x14ac:dyDescent="0.3">
      <c r="A21" s="2" t="str">
        <f t="shared" si="0"/>
        <v>輪機工程學系能源應用組</v>
      </c>
      <c r="B21" s="2" t="str">
        <f>"0086A019"</f>
        <v>0086A019</v>
      </c>
      <c r="C21" s="2" t="str">
        <f>"林城旭"</f>
        <v>林城旭</v>
      </c>
      <c r="R21" s="2">
        <f t="shared" si="1"/>
        <v>0</v>
      </c>
    </row>
    <row r="22" spans="1:18" x14ac:dyDescent="0.3">
      <c r="A22" s="2" t="str">
        <f t="shared" si="0"/>
        <v>輪機工程學系能源應用組</v>
      </c>
      <c r="B22" s="2" t="str">
        <f>"0086A020"</f>
        <v>0086A020</v>
      </c>
      <c r="C22" s="2" t="str">
        <f>"王立澔"</f>
        <v>王立澔</v>
      </c>
      <c r="R22" s="2">
        <f t="shared" si="1"/>
        <v>0</v>
      </c>
    </row>
    <row r="23" spans="1:18" x14ac:dyDescent="0.3">
      <c r="A23" s="2" t="str">
        <f t="shared" si="0"/>
        <v>輪機工程學系能源應用組</v>
      </c>
      <c r="B23" s="2" t="str">
        <f>"0086A021"</f>
        <v>0086A021</v>
      </c>
      <c r="C23" s="2" t="str">
        <f>"謝翔宇"</f>
        <v>謝翔宇</v>
      </c>
      <c r="R23" s="2">
        <f t="shared" si="1"/>
        <v>0</v>
      </c>
    </row>
    <row r="24" spans="1:18" x14ac:dyDescent="0.3">
      <c r="A24" s="2" t="str">
        <f t="shared" si="0"/>
        <v>輪機工程學系能源應用組</v>
      </c>
      <c r="B24" s="2" t="str">
        <f>"0086A022"</f>
        <v>0086A022</v>
      </c>
      <c r="C24" s="2" t="str">
        <f>"李思瑋"</f>
        <v>李思瑋</v>
      </c>
      <c r="R24" s="2">
        <f t="shared" si="1"/>
        <v>0</v>
      </c>
    </row>
    <row r="25" spans="1:18" x14ac:dyDescent="0.3">
      <c r="A25" s="2" t="str">
        <f t="shared" si="0"/>
        <v>輪機工程學系能源應用組</v>
      </c>
      <c r="B25" s="2" t="str">
        <f>"0086A023"</f>
        <v>0086A023</v>
      </c>
      <c r="C25" s="2" t="str">
        <f>"林庭安"</f>
        <v>林庭安</v>
      </c>
      <c r="R25" s="2">
        <f t="shared" si="1"/>
        <v>0</v>
      </c>
    </row>
    <row r="26" spans="1:18" x14ac:dyDescent="0.3">
      <c r="A26" s="2" t="str">
        <f t="shared" si="0"/>
        <v>輪機工程學系能源應用組</v>
      </c>
      <c r="B26" s="2" t="str">
        <f>"0086A024"</f>
        <v>0086A024</v>
      </c>
      <c r="C26" s="2" t="str">
        <f>"林世晟"</f>
        <v>林世晟</v>
      </c>
      <c r="R26" s="2">
        <f t="shared" si="1"/>
        <v>0</v>
      </c>
    </row>
    <row r="27" spans="1:18" x14ac:dyDescent="0.3">
      <c r="A27" s="2" t="str">
        <f t="shared" si="0"/>
        <v>輪機工程學系能源應用組</v>
      </c>
      <c r="B27" s="2" t="str">
        <f>"0086A025"</f>
        <v>0086A025</v>
      </c>
      <c r="C27" s="2" t="str">
        <f>"郭育瑄"</f>
        <v>郭育瑄</v>
      </c>
      <c r="R27" s="2">
        <f t="shared" si="1"/>
        <v>0</v>
      </c>
    </row>
    <row r="28" spans="1:18" x14ac:dyDescent="0.3">
      <c r="A28" s="2" t="str">
        <f t="shared" si="0"/>
        <v>輪機工程學系能源應用組</v>
      </c>
      <c r="B28" s="2" t="str">
        <f>"0086A026"</f>
        <v>0086A026</v>
      </c>
      <c r="C28" s="2" t="str">
        <f>"劉士豪"</f>
        <v>劉士豪</v>
      </c>
      <c r="R28" s="2">
        <f t="shared" si="1"/>
        <v>0</v>
      </c>
    </row>
    <row r="29" spans="1:18" x14ac:dyDescent="0.3">
      <c r="A29" s="2" t="str">
        <f t="shared" si="0"/>
        <v>輪機工程學系能源應用組</v>
      </c>
      <c r="B29" s="2" t="str">
        <f>"0086A027"</f>
        <v>0086A027</v>
      </c>
      <c r="C29" s="2" t="str">
        <f>"羅宇傑"</f>
        <v>羅宇傑</v>
      </c>
      <c r="R29" s="2">
        <f t="shared" si="1"/>
        <v>0</v>
      </c>
    </row>
    <row r="30" spans="1:18" x14ac:dyDescent="0.3">
      <c r="A30" s="2" t="str">
        <f t="shared" si="0"/>
        <v>輪機工程學系能源應用組</v>
      </c>
      <c r="B30" s="2" t="str">
        <f>"0086A028"</f>
        <v>0086A028</v>
      </c>
      <c r="C30" s="2" t="str">
        <f>"黃允佑"</f>
        <v>黃允佑</v>
      </c>
      <c r="R30" s="2">
        <f t="shared" si="1"/>
        <v>0</v>
      </c>
    </row>
    <row r="31" spans="1:18" x14ac:dyDescent="0.3">
      <c r="A31" s="2" t="str">
        <f t="shared" si="0"/>
        <v>輪機工程學系能源應用組</v>
      </c>
      <c r="B31" s="2" t="str">
        <f>"0086A029"</f>
        <v>0086A029</v>
      </c>
      <c r="C31" s="2" t="str">
        <f>"郭岱欣"</f>
        <v>郭岱欣</v>
      </c>
      <c r="R31" s="2">
        <f t="shared" si="1"/>
        <v>0</v>
      </c>
    </row>
    <row r="32" spans="1:18" x14ac:dyDescent="0.3">
      <c r="A32" s="2" t="str">
        <f t="shared" si="0"/>
        <v>輪機工程學系能源應用組</v>
      </c>
      <c r="B32" s="2" t="str">
        <f>"0086A030"</f>
        <v>0086A030</v>
      </c>
      <c r="C32" s="2" t="str">
        <f>"王宥翔"</f>
        <v>王宥翔</v>
      </c>
      <c r="R32" s="2">
        <f t="shared" si="1"/>
        <v>0</v>
      </c>
    </row>
    <row r="33" spans="1:18" x14ac:dyDescent="0.3">
      <c r="A33" s="2" t="str">
        <f t="shared" si="0"/>
        <v>輪機工程學系能源應用組</v>
      </c>
      <c r="B33" s="2" t="str">
        <f>"0086A031"</f>
        <v>0086A031</v>
      </c>
      <c r="C33" s="2" t="str">
        <f>"陳睿昶"</f>
        <v>陳睿昶</v>
      </c>
      <c r="R33" s="2">
        <f t="shared" si="1"/>
        <v>0</v>
      </c>
    </row>
    <row r="34" spans="1:18" x14ac:dyDescent="0.3">
      <c r="A34" s="2" t="str">
        <f t="shared" si="0"/>
        <v>輪機工程學系能源應用組</v>
      </c>
      <c r="B34" s="2" t="str">
        <f>"0086A032"</f>
        <v>0086A032</v>
      </c>
      <c r="C34" s="2" t="str">
        <f>"洪瑋廷"</f>
        <v>洪瑋廷</v>
      </c>
      <c r="R34" s="2">
        <f t="shared" si="1"/>
        <v>0</v>
      </c>
    </row>
    <row r="35" spans="1:18" x14ac:dyDescent="0.3">
      <c r="A35" s="2" t="str">
        <f t="shared" si="0"/>
        <v>輪機工程學系能源應用組</v>
      </c>
      <c r="B35" s="2" t="str">
        <f>"0086A033"</f>
        <v>0086A033</v>
      </c>
      <c r="C35" s="2" t="str">
        <f>"翁濟祥"</f>
        <v>翁濟祥</v>
      </c>
      <c r="R35" s="2">
        <f t="shared" si="1"/>
        <v>0</v>
      </c>
    </row>
    <row r="36" spans="1:18" x14ac:dyDescent="0.3">
      <c r="A36" s="2" t="str">
        <f t="shared" si="0"/>
        <v>輪機工程學系能源應用組</v>
      </c>
      <c r="B36" s="2" t="str">
        <f>"0086A034"</f>
        <v>0086A034</v>
      </c>
      <c r="C36" s="2" t="str">
        <f>"黃郁賀"</f>
        <v>黃郁賀</v>
      </c>
      <c r="R36" s="2">
        <f t="shared" si="1"/>
        <v>0</v>
      </c>
    </row>
    <row r="37" spans="1:18" x14ac:dyDescent="0.3">
      <c r="A37" s="2" t="str">
        <f t="shared" si="0"/>
        <v>輪機工程學系能源應用組</v>
      </c>
      <c r="B37" s="2" t="str">
        <f>"0086A035"</f>
        <v>0086A035</v>
      </c>
      <c r="C37" s="2" t="str">
        <f>"李宗駿"</f>
        <v>李宗駿</v>
      </c>
      <c r="R37" s="2">
        <f t="shared" si="1"/>
        <v>0</v>
      </c>
    </row>
    <row r="38" spans="1:18" x14ac:dyDescent="0.3">
      <c r="A38" s="2" t="str">
        <f t="shared" si="0"/>
        <v>輪機工程學系能源應用組</v>
      </c>
      <c r="B38" s="2" t="str">
        <f>"0086A036"</f>
        <v>0086A036</v>
      </c>
      <c r="C38" s="2" t="str">
        <f>"周暘恩"</f>
        <v>周暘恩</v>
      </c>
      <c r="R38" s="2">
        <f t="shared" si="1"/>
        <v>0</v>
      </c>
    </row>
    <row r="39" spans="1:18" x14ac:dyDescent="0.3">
      <c r="A39" s="2" t="str">
        <f t="shared" si="0"/>
        <v>輪機工程學系能源應用組</v>
      </c>
      <c r="B39" s="2" t="str">
        <f>"0086A037"</f>
        <v>0086A037</v>
      </c>
      <c r="C39" s="2" t="str">
        <f>"沈明陞"</f>
        <v>沈明陞</v>
      </c>
      <c r="R39" s="2">
        <f t="shared" si="1"/>
        <v>0</v>
      </c>
    </row>
    <row r="40" spans="1:18" x14ac:dyDescent="0.3">
      <c r="A40" s="2" t="str">
        <f t="shared" si="0"/>
        <v>輪機工程學系能源應用組</v>
      </c>
      <c r="B40" s="2" t="str">
        <f>"0086A038"</f>
        <v>0086A038</v>
      </c>
      <c r="C40" s="2" t="str">
        <f>"羅家淯"</f>
        <v>羅家淯</v>
      </c>
      <c r="R40" s="2">
        <f t="shared" si="1"/>
        <v>0</v>
      </c>
    </row>
    <row r="41" spans="1:18" x14ac:dyDescent="0.3">
      <c r="A41" s="2" t="str">
        <f t="shared" si="0"/>
        <v>輪機工程學系能源應用組</v>
      </c>
      <c r="B41" s="2" t="str">
        <f>"0086A039"</f>
        <v>0086A039</v>
      </c>
      <c r="C41" s="2" t="str">
        <f>"林宗頤"</f>
        <v>林宗頤</v>
      </c>
      <c r="R41" s="2">
        <f t="shared" si="1"/>
        <v>0</v>
      </c>
    </row>
    <row r="42" spans="1:18" x14ac:dyDescent="0.3">
      <c r="A42" s="2" t="str">
        <f t="shared" si="0"/>
        <v>輪機工程學系能源應用組</v>
      </c>
      <c r="B42" s="2" t="str">
        <f>"0086A040"</f>
        <v>0086A040</v>
      </c>
      <c r="C42" s="2" t="str">
        <f>"鄭洧丞"</f>
        <v>鄭洧丞</v>
      </c>
      <c r="R42" s="2">
        <f t="shared" si="1"/>
        <v>0</v>
      </c>
    </row>
    <row r="43" spans="1:18" x14ac:dyDescent="0.3">
      <c r="A43" s="2" t="str">
        <f t="shared" si="0"/>
        <v>輪機工程學系能源應用組</v>
      </c>
      <c r="B43" s="2" t="str">
        <f>"0086A041"</f>
        <v>0086A041</v>
      </c>
      <c r="C43" s="2" t="str">
        <f>"劉維金"</f>
        <v>劉維金</v>
      </c>
      <c r="R43" s="2">
        <f t="shared" si="1"/>
        <v>0</v>
      </c>
    </row>
    <row r="44" spans="1:18" x14ac:dyDescent="0.3">
      <c r="A44" s="2" t="str">
        <f t="shared" si="0"/>
        <v>輪機工程學系能源應用組</v>
      </c>
      <c r="B44" s="2" t="str">
        <f>"0086A042"</f>
        <v>0086A042</v>
      </c>
      <c r="C44" s="2" t="str">
        <f>"張家銘"</f>
        <v>張家銘</v>
      </c>
      <c r="R44" s="2">
        <f t="shared" si="1"/>
        <v>0</v>
      </c>
    </row>
    <row r="45" spans="1:18" x14ac:dyDescent="0.3">
      <c r="A45" s="2" t="str">
        <f t="shared" si="0"/>
        <v>輪機工程學系能源應用組</v>
      </c>
      <c r="B45" s="2" t="str">
        <f>"0086A043"</f>
        <v>0086A043</v>
      </c>
      <c r="C45" s="2" t="str">
        <f>"黃晉暐"</f>
        <v>黃晉暐</v>
      </c>
      <c r="R45" s="2">
        <f t="shared" si="1"/>
        <v>0</v>
      </c>
    </row>
    <row r="46" spans="1:18" x14ac:dyDescent="0.3">
      <c r="A46" s="2" t="str">
        <f t="shared" ref="A46:A107" si="2">"輪機工程學系動力工程組"</f>
        <v>輪機工程學系動力工程組</v>
      </c>
      <c r="B46" s="2" t="str">
        <f>"0086D001"</f>
        <v>0086D001</v>
      </c>
      <c r="C46" s="2" t="str">
        <f>"程覺"</f>
        <v>程覺</v>
      </c>
      <c r="R46" s="2">
        <f t="shared" si="1"/>
        <v>0</v>
      </c>
    </row>
    <row r="47" spans="1:18" x14ac:dyDescent="0.3">
      <c r="A47" s="2" t="str">
        <f t="shared" si="2"/>
        <v>輪機工程學系動力工程組</v>
      </c>
      <c r="B47" s="2" t="str">
        <f>"0086D002"</f>
        <v>0086D002</v>
      </c>
      <c r="C47" s="2" t="str">
        <f>"曹博鈞"</f>
        <v>曹博鈞</v>
      </c>
      <c r="R47" s="2">
        <f t="shared" si="1"/>
        <v>0</v>
      </c>
    </row>
    <row r="48" spans="1:18" x14ac:dyDescent="0.3">
      <c r="A48" s="2" t="s">
        <v>0</v>
      </c>
      <c r="B48" s="2" t="s">
        <v>1</v>
      </c>
      <c r="C48" s="2" t="s">
        <v>2</v>
      </c>
      <c r="D48" s="3" t="s">
        <v>18</v>
      </c>
      <c r="E48" s="4" t="s">
        <v>19</v>
      </c>
      <c r="F48" s="4" t="s">
        <v>31</v>
      </c>
      <c r="G48" s="4" t="s">
        <v>20</v>
      </c>
      <c r="H48" s="4" t="s">
        <v>21</v>
      </c>
      <c r="I48" s="4" t="s">
        <v>22</v>
      </c>
      <c r="J48" s="4" t="s">
        <v>23</v>
      </c>
      <c r="K48" s="4" t="s">
        <v>24</v>
      </c>
      <c r="L48" s="4" t="s">
        <v>25</v>
      </c>
      <c r="M48" s="4" t="s">
        <v>26</v>
      </c>
      <c r="N48" s="4" t="s">
        <v>27</v>
      </c>
      <c r="O48" s="4" t="s">
        <v>28</v>
      </c>
      <c r="P48" s="4" t="s">
        <v>29</v>
      </c>
      <c r="Q48" s="4" t="s">
        <v>30</v>
      </c>
      <c r="R48" s="1" t="s">
        <v>3</v>
      </c>
    </row>
    <row r="49" spans="1:18" x14ac:dyDescent="0.3">
      <c r="A49" s="2" t="str">
        <f t="shared" si="2"/>
        <v>輪機工程學系動力工程組</v>
      </c>
      <c r="B49" s="2" t="str">
        <f>"0086D003"</f>
        <v>0086D003</v>
      </c>
      <c r="C49" s="2" t="str">
        <f>"周顯鴻"</f>
        <v>周顯鴻</v>
      </c>
      <c r="R49" s="2">
        <f t="shared" si="1"/>
        <v>0</v>
      </c>
    </row>
    <row r="50" spans="1:18" x14ac:dyDescent="0.3">
      <c r="A50" s="2" t="str">
        <f t="shared" si="2"/>
        <v>輪機工程學系動力工程組</v>
      </c>
      <c r="B50" s="2" t="str">
        <f>"0086D004"</f>
        <v>0086D004</v>
      </c>
      <c r="C50" s="2" t="str">
        <f>"黃立誠"</f>
        <v>黃立誠</v>
      </c>
      <c r="R50" s="2">
        <f t="shared" si="1"/>
        <v>0</v>
      </c>
    </row>
    <row r="51" spans="1:18" x14ac:dyDescent="0.3">
      <c r="A51" s="2" t="str">
        <f t="shared" si="2"/>
        <v>輪機工程學系動力工程組</v>
      </c>
      <c r="B51" s="2" t="str">
        <f>"0086D005"</f>
        <v>0086D005</v>
      </c>
      <c r="C51" s="2" t="str">
        <f>"閻家興"</f>
        <v>閻家興</v>
      </c>
      <c r="R51" s="2">
        <f t="shared" si="1"/>
        <v>0</v>
      </c>
    </row>
    <row r="52" spans="1:18" x14ac:dyDescent="0.3">
      <c r="A52" s="2" t="str">
        <f t="shared" si="2"/>
        <v>輪機工程學系動力工程組</v>
      </c>
      <c r="B52" s="2" t="str">
        <f>"0086D006"</f>
        <v>0086D006</v>
      </c>
      <c r="C52" s="2" t="str">
        <f>"陳冠宇"</f>
        <v>陳冠宇</v>
      </c>
      <c r="R52" s="2">
        <f t="shared" si="1"/>
        <v>0</v>
      </c>
    </row>
    <row r="53" spans="1:18" x14ac:dyDescent="0.3">
      <c r="A53" s="2" t="str">
        <f t="shared" si="2"/>
        <v>輪機工程學系動力工程組</v>
      </c>
      <c r="B53" s="2" t="str">
        <f>"0086D007"</f>
        <v>0086D007</v>
      </c>
      <c r="C53" s="2" t="str">
        <f>"陳彥禎"</f>
        <v>陳彥禎</v>
      </c>
      <c r="R53" s="2">
        <f t="shared" si="1"/>
        <v>0</v>
      </c>
    </row>
    <row r="54" spans="1:18" x14ac:dyDescent="0.3">
      <c r="A54" s="2" t="str">
        <f t="shared" si="2"/>
        <v>輪機工程學系動力工程組</v>
      </c>
      <c r="B54" s="2" t="str">
        <f>"0086D008"</f>
        <v>0086D008</v>
      </c>
      <c r="C54" s="2" t="str">
        <f>"林柏良"</f>
        <v>林柏良</v>
      </c>
      <c r="R54" s="2">
        <f t="shared" si="1"/>
        <v>0</v>
      </c>
    </row>
    <row r="55" spans="1:18" x14ac:dyDescent="0.3">
      <c r="A55" s="2" t="str">
        <f t="shared" si="2"/>
        <v>輪機工程學系動力工程組</v>
      </c>
      <c r="B55" s="2" t="str">
        <f>"0086D009"</f>
        <v>0086D009</v>
      </c>
      <c r="C55" s="2" t="str">
        <f>"陳智博"</f>
        <v>陳智博</v>
      </c>
      <c r="R55" s="2">
        <f t="shared" si="1"/>
        <v>0</v>
      </c>
    </row>
    <row r="56" spans="1:18" x14ac:dyDescent="0.3">
      <c r="A56" s="2" t="str">
        <f t="shared" si="2"/>
        <v>輪機工程學系動力工程組</v>
      </c>
      <c r="B56" s="2" t="str">
        <f>"0086D010"</f>
        <v>0086D010</v>
      </c>
      <c r="C56" s="2" t="str">
        <f>"華健佑"</f>
        <v>華健佑</v>
      </c>
      <c r="R56" s="2">
        <f t="shared" si="1"/>
        <v>0</v>
      </c>
    </row>
    <row r="57" spans="1:18" x14ac:dyDescent="0.3">
      <c r="A57" s="2" t="str">
        <f t="shared" si="2"/>
        <v>輪機工程學系動力工程組</v>
      </c>
      <c r="B57" s="2" t="str">
        <f>"0086D011"</f>
        <v>0086D011</v>
      </c>
      <c r="C57" s="2" t="str">
        <f>"林孝謙"</f>
        <v>林孝謙</v>
      </c>
      <c r="R57" s="2">
        <f t="shared" si="1"/>
        <v>0</v>
      </c>
    </row>
    <row r="58" spans="1:18" x14ac:dyDescent="0.3">
      <c r="A58" s="2" t="str">
        <f t="shared" si="2"/>
        <v>輪機工程學系動力工程組</v>
      </c>
      <c r="B58" s="2" t="str">
        <f>"0086D012"</f>
        <v>0086D012</v>
      </c>
      <c r="C58" s="2" t="str">
        <f>"黃文洋"</f>
        <v>黃文洋</v>
      </c>
      <c r="R58" s="2">
        <f t="shared" si="1"/>
        <v>0</v>
      </c>
    </row>
    <row r="59" spans="1:18" x14ac:dyDescent="0.3">
      <c r="A59" s="2" t="str">
        <f t="shared" si="2"/>
        <v>輪機工程學系動力工程組</v>
      </c>
      <c r="B59" s="2" t="str">
        <f>"0086D013"</f>
        <v>0086D013</v>
      </c>
      <c r="C59" s="2" t="str">
        <f>"鍾浚偉"</f>
        <v>鍾浚偉</v>
      </c>
      <c r="R59" s="2">
        <f t="shared" si="1"/>
        <v>0</v>
      </c>
    </row>
    <row r="60" spans="1:18" x14ac:dyDescent="0.3">
      <c r="A60" s="2" t="str">
        <f t="shared" si="2"/>
        <v>輪機工程學系動力工程組</v>
      </c>
      <c r="B60" s="2" t="str">
        <f>"0086D014"</f>
        <v>0086D014</v>
      </c>
      <c r="C60" s="2" t="str">
        <f>"林逸紘"</f>
        <v>林逸紘</v>
      </c>
      <c r="R60" s="2">
        <f t="shared" si="1"/>
        <v>0</v>
      </c>
    </row>
    <row r="61" spans="1:18" x14ac:dyDescent="0.3">
      <c r="A61" s="2" t="str">
        <f t="shared" si="2"/>
        <v>輪機工程學系動力工程組</v>
      </c>
      <c r="B61" s="2" t="str">
        <f>"0086D015"</f>
        <v>0086D015</v>
      </c>
      <c r="C61" s="2" t="str">
        <f>"江光勛"</f>
        <v>江光勛</v>
      </c>
      <c r="R61" s="2">
        <f t="shared" si="1"/>
        <v>0</v>
      </c>
    </row>
    <row r="62" spans="1:18" x14ac:dyDescent="0.3">
      <c r="A62" s="2" t="str">
        <f t="shared" si="2"/>
        <v>輪機工程學系動力工程組</v>
      </c>
      <c r="B62" s="2" t="str">
        <f>"0086D016"</f>
        <v>0086D016</v>
      </c>
      <c r="C62" s="2" t="str">
        <f>"余孟儒"</f>
        <v>余孟儒</v>
      </c>
      <c r="R62" s="2">
        <f t="shared" si="1"/>
        <v>0</v>
      </c>
    </row>
    <row r="63" spans="1:18" x14ac:dyDescent="0.3">
      <c r="A63" s="2" t="str">
        <f t="shared" si="2"/>
        <v>輪機工程學系動力工程組</v>
      </c>
      <c r="B63" s="2" t="str">
        <f>"0086D017"</f>
        <v>0086D017</v>
      </c>
      <c r="C63" s="2" t="str">
        <f>"林元融"</f>
        <v>林元融</v>
      </c>
      <c r="R63" s="2">
        <f t="shared" si="1"/>
        <v>0</v>
      </c>
    </row>
    <row r="64" spans="1:18" x14ac:dyDescent="0.3">
      <c r="A64" s="2" t="str">
        <f t="shared" si="2"/>
        <v>輪機工程學系動力工程組</v>
      </c>
      <c r="B64" s="2" t="str">
        <f>"0086D018"</f>
        <v>0086D018</v>
      </c>
      <c r="C64" s="2" t="str">
        <f>"林芷彤"</f>
        <v>林芷彤</v>
      </c>
      <c r="R64" s="2">
        <f t="shared" si="1"/>
        <v>0</v>
      </c>
    </row>
    <row r="65" spans="1:18" x14ac:dyDescent="0.3">
      <c r="A65" s="2" t="str">
        <f t="shared" si="2"/>
        <v>輪機工程學系動力工程組</v>
      </c>
      <c r="B65" s="2" t="str">
        <f>"0086D019"</f>
        <v>0086D019</v>
      </c>
      <c r="C65" s="2" t="str">
        <f>"蔡維"</f>
        <v>蔡維</v>
      </c>
      <c r="R65" s="2">
        <f t="shared" si="1"/>
        <v>0</v>
      </c>
    </row>
    <row r="66" spans="1:18" x14ac:dyDescent="0.3">
      <c r="A66" s="2" t="str">
        <f t="shared" si="2"/>
        <v>輪機工程學系動力工程組</v>
      </c>
      <c r="B66" s="2" t="str">
        <f>"0086D020"</f>
        <v>0086D020</v>
      </c>
      <c r="C66" s="2" t="str">
        <f>"林子恒"</f>
        <v>林子恒</v>
      </c>
      <c r="R66" s="2">
        <f t="shared" si="1"/>
        <v>0</v>
      </c>
    </row>
    <row r="67" spans="1:18" x14ac:dyDescent="0.3">
      <c r="A67" s="2" t="str">
        <f t="shared" si="2"/>
        <v>輪機工程學系動力工程組</v>
      </c>
      <c r="B67" s="2" t="str">
        <f>"0086D021"</f>
        <v>0086D021</v>
      </c>
      <c r="C67" s="2" t="str">
        <f>"連國丞"</f>
        <v>連國丞</v>
      </c>
      <c r="R67" s="2">
        <f t="shared" si="1"/>
        <v>0</v>
      </c>
    </row>
    <row r="68" spans="1:18" x14ac:dyDescent="0.3">
      <c r="A68" s="2" t="str">
        <f t="shared" si="2"/>
        <v>輪機工程學系動力工程組</v>
      </c>
      <c r="B68" s="2" t="str">
        <f>"0086D022"</f>
        <v>0086D022</v>
      </c>
      <c r="C68" s="2" t="str">
        <f>"許恩晨"</f>
        <v>許恩晨</v>
      </c>
      <c r="R68" s="2">
        <f t="shared" ref="R68:R107" si="3">SUM(D68:Q68)</f>
        <v>0</v>
      </c>
    </row>
    <row r="69" spans="1:18" x14ac:dyDescent="0.3">
      <c r="A69" s="2" t="str">
        <f t="shared" si="2"/>
        <v>輪機工程學系動力工程組</v>
      </c>
      <c r="B69" s="2" t="str">
        <f>"0086D023"</f>
        <v>0086D023</v>
      </c>
      <c r="C69" s="2" t="str">
        <f>"顏良瑋"</f>
        <v>顏良瑋</v>
      </c>
      <c r="R69" s="2">
        <f t="shared" si="3"/>
        <v>0</v>
      </c>
    </row>
    <row r="70" spans="1:18" x14ac:dyDescent="0.3">
      <c r="A70" s="2" t="str">
        <f t="shared" si="2"/>
        <v>輪機工程學系動力工程組</v>
      </c>
      <c r="B70" s="2" t="str">
        <f>"0086D024"</f>
        <v>0086D024</v>
      </c>
      <c r="C70" s="2" t="str">
        <f>"陳建維"</f>
        <v>陳建維</v>
      </c>
      <c r="H70" s="2">
        <v>1</v>
      </c>
      <c r="L70" s="2">
        <v>1</v>
      </c>
      <c r="P70" s="2">
        <v>1</v>
      </c>
      <c r="R70" s="2">
        <f t="shared" si="3"/>
        <v>3</v>
      </c>
    </row>
    <row r="71" spans="1:18" x14ac:dyDescent="0.3">
      <c r="A71" s="2" t="str">
        <f t="shared" si="2"/>
        <v>輪機工程學系動力工程組</v>
      </c>
      <c r="B71" s="2" t="str">
        <f>"0086D025"</f>
        <v>0086D025</v>
      </c>
      <c r="C71" s="2" t="str">
        <f>"簡瑞辰"</f>
        <v>簡瑞辰</v>
      </c>
      <c r="R71" s="2">
        <f t="shared" si="3"/>
        <v>0</v>
      </c>
    </row>
    <row r="72" spans="1:18" x14ac:dyDescent="0.3">
      <c r="A72" s="2" t="str">
        <f t="shared" si="2"/>
        <v>輪機工程學系動力工程組</v>
      </c>
      <c r="B72" s="2" t="str">
        <f>"0086D026"</f>
        <v>0086D026</v>
      </c>
      <c r="C72" s="2" t="str">
        <f>"林志恩"</f>
        <v>林志恩</v>
      </c>
      <c r="R72" s="2">
        <f t="shared" si="3"/>
        <v>0</v>
      </c>
    </row>
    <row r="73" spans="1:18" x14ac:dyDescent="0.3">
      <c r="A73" s="2" t="str">
        <f t="shared" si="2"/>
        <v>輪機工程學系動力工程組</v>
      </c>
      <c r="B73" s="2" t="str">
        <f>"0086D027"</f>
        <v>0086D027</v>
      </c>
      <c r="C73" s="2" t="str">
        <f>"賴奕伶"</f>
        <v>賴奕伶</v>
      </c>
      <c r="R73" s="2">
        <f t="shared" si="3"/>
        <v>0</v>
      </c>
    </row>
    <row r="74" spans="1:18" x14ac:dyDescent="0.3">
      <c r="A74" s="2" t="str">
        <f t="shared" si="2"/>
        <v>輪機工程學系動力工程組</v>
      </c>
      <c r="B74" s="2" t="str">
        <f>"0086D028"</f>
        <v>0086D028</v>
      </c>
      <c r="C74" s="2" t="str">
        <f>"黃威碩"</f>
        <v>黃威碩</v>
      </c>
      <c r="R74" s="2">
        <f t="shared" si="3"/>
        <v>0</v>
      </c>
    </row>
    <row r="75" spans="1:18" x14ac:dyDescent="0.3">
      <c r="A75" s="2" t="str">
        <f t="shared" si="2"/>
        <v>輪機工程學系動力工程組</v>
      </c>
      <c r="B75" s="2" t="str">
        <f>"0086D029"</f>
        <v>0086D029</v>
      </c>
      <c r="C75" s="2" t="str">
        <f>"方茗漬"</f>
        <v>方茗漬</v>
      </c>
      <c r="L75" s="2">
        <v>1</v>
      </c>
      <c r="P75" s="2">
        <v>1</v>
      </c>
      <c r="R75" s="2">
        <f t="shared" si="3"/>
        <v>2</v>
      </c>
    </row>
    <row r="76" spans="1:18" x14ac:dyDescent="0.3">
      <c r="A76" s="2" t="str">
        <f t="shared" si="2"/>
        <v>輪機工程學系動力工程組</v>
      </c>
      <c r="B76" s="2" t="str">
        <f>"0086D030"</f>
        <v>0086D030</v>
      </c>
      <c r="C76" s="2" t="str">
        <f>"劉宇恆"</f>
        <v>劉宇恆</v>
      </c>
      <c r="L76" s="2">
        <v>1</v>
      </c>
      <c r="R76" s="2">
        <f t="shared" si="3"/>
        <v>1</v>
      </c>
    </row>
    <row r="77" spans="1:18" x14ac:dyDescent="0.3">
      <c r="A77" s="2" t="str">
        <f t="shared" si="2"/>
        <v>輪機工程學系動力工程組</v>
      </c>
      <c r="B77" s="2" t="str">
        <f>"0086D031"</f>
        <v>0086D031</v>
      </c>
      <c r="C77" s="2" t="str">
        <f>"江繼理"</f>
        <v>江繼理</v>
      </c>
      <c r="R77" s="2">
        <f t="shared" si="3"/>
        <v>0</v>
      </c>
    </row>
    <row r="78" spans="1:18" x14ac:dyDescent="0.3">
      <c r="A78" s="2" t="str">
        <f t="shared" si="2"/>
        <v>輪機工程學系動力工程組</v>
      </c>
      <c r="B78" s="2" t="str">
        <f>"0086D032"</f>
        <v>0086D032</v>
      </c>
      <c r="C78" s="2" t="str">
        <f>"許倚赫"</f>
        <v>許倚赫</v>
      </c>
      <c r="R78" s="2">
        <f t="shared" si="3"/>
        <v>0</v>
      </c>
    </row>
    <row r="79" spans="1:18" x14ac:dyDescent="0.3">
      <c r="A79" s="2" t="str">
        <f t="shared" si="2"/>
        <v>輪機工程學系動力工程組</v>
      </c>
      <c r="B79" s="2" t="str">
        <f>"0086D033"</f>
        <v>0086D033</v>
      </c>
      <c r="C79" s="2" t="str">
        <f>"廖振翔"</f>
        <v>廖振翔</v>
      </c>
      <c r="R79" s="2">
        <f t="shared" si="3"/>
        <v>0</v>
      </c>
    </row>
    <row r="80" spans="1:18" x14ac:dyDescent="0.3">
      <c r="A80" s="2" t="str">
        <f t="shared" si="2"/>
        <v>輪機工程學系動力工程組</v>
      </c>
      <c r="B80" s="2" t="str">
        <f>"0086D034"</f>
        <v>0086D034</v>
      </c>
      <c r="C80" s="2" t="str">
        <f>"鐘義堅"</f>
        <v>鐘義堅</v>
      </c>
      <c r="G80" s="2">
        <v>1</v>
      </c>
      <c r="I80" s="2">
        <v>1</v>
      </c>
      <c r="M80" s="2">
        <v>1</v>
      </c>
      <c r="Q80" s="2">
        <v>1</v>
      </c>
      <c r="R80" s="2">
        <f t="shared" si="3"/>
        <v>4</v>
      </c>
    </row>
    <row r="81" spans="1:18" x14ac:dyDescent="0.3">
      <c r="A81" s="2" t="str">
        <f t="shared" si="2"/>
        <v>輪機工程學系動力工程組</v>
      </c>
      <c r="B81" s="2" t="str">
        <f>"0086D035"</f>
        <v>0086D035</v>
      </c>
      <c r="C81" s="2" t="str">
        <f>"林丹宥"</f>
        <v>林丹宥</v>
      </c>
      <c r="R81" s="2">
        <f t="shared" si="3"/>
        <v>0</v>
      </c>
    </row>
    <row r="82" spans="1:18" x14ac:dyDescent="0.3">
      <c r="A82" s="2" t="str">
        <f t="shared" si="2"/>
        <v>輪機工程學系動力工程組</v>
      </c>
      <c r="B82" s="2" t="str">
        <f>"0086D036"</f>
        <v>0086D036</v>
      </c>
      <c r="C82" s="2" t="str">
        <f>"童建程"</f>
        <v>童建程</v>
      </c>
      <c r="R82" s="2">
        <f t="shared" si="3"/>
        <v>0</v>
      </c>
    </row>
    <row r="83" spans="1:18" x14ac:dyDescent="0.3">
      <c r="A83" s="2" t="str">
        <f t="shared" si="2"/>
        <v>輪機工程學系動力工程組</v>
      </c>
      <c r="B83" s="2" t="str">
        <f>"0086D037"</f>
        <v>0086D037</v>
      </c>
      <c r="C83" s="2" t="str">
        <f>"徐宗誠"</f>
        <v>徐宗誠</v>
      </c>
      <c r="R83" s="2">
        <f t="shared" si="3"/>
        <v>0</v>
      </c>
    </row>
    <row r="84" spans="1:18" x14ac:dyDescent="0.3">
      <c r="A84" s="2" t="str">
        <f t="shared" si="2"/>
        <v>輪機工程學系動力工程組</v>
      </c>
      <c r="B84" s="2" t="str">
        <f>"0086D038"</f>
        <v>0086D038</v>
      </c>
      <c r="C84" s="2" t="str">
        <f>"鐘翌羊"</f>
        <v>鐘翌羊</v>
      </c>
      <c r="F84" s="2">
        <v>1</v>
      </c>
      <c r="I84" s="2">
        <v>1</v>
      </c>
      <c r="R84" s="2">
        <f t="shared" si="3"/>
        <v>2</v>
      </c>
    </row>
    <row r="85" spans="1:18" x14ac:dyDescent="0.3">
      <c r="A85" s="2" t="str">
        <f t="shared" si="2"/>
        <v>輪機工程學系動力工程組</v>
      </c>
      <c r="B85" s="2" t="str">
        <f>"0086D039"</f>
        <v>0086D039</v>
      </c>
      <c r="C85" s="2" t="str">
        <f>"張皓斌"</f>
        <v>張皓斌</v>
      </c>
      <c r="R85" s="2">
        <f t="shared" si="3"/>
        <v>0</v>
      </c>
    </row>
    <row r="86" spans="1:18" x14ac:dyDescent="0.3">
      <c r="A86" s="2" t="str">
        <f t="shared" si="2"/>
        <v>輪機工程學系動力工程組</v>
      </c>
      <c r="B86" s="2" t="str">
        <f>"0086D040"</f>
        <v>0086D040</v>
      </c>
      <c r="C86" s="2" t="str">
        <f>"郭崇逸"</f>
        <v>郭崇逸</v>
      </c>
      <c r="R86" s="2">
        <f t="shared" si="3"/>
        <v>0</v>
      </c>
    </row>
    <row r="87" spans="1:18" x14ac:dyDescent="0.3">
      <c r="A87" s="2" t="str">
        <f t="shared" si="2"/>
        <v>輪機工程學系動力工程組</v>
      </c>
      <c r="B87" s="2" t="str">
        <f>"0086D041"</f>
        <v>0086D041</v>
      </c>
      <c r="C87" s="2" t="str">
        <f>"陳柏維"</f>
        <v>陳柏維</v>
      </c>
      <c r="L87" s="2">
        <v>1</v>
      </c>
      <c r="R87" s="2">
        <f t="shared" si="3"/>
        <v>1</v>
      </c>
    </row>
    <row r="88" spans="1:18" x14ac:dyDescent="0.3">
      <c r="A88" s="2" t="str">
        <f t="shared" si="2"/>
        <v>輪機工程學系動力工程組</v>
      </c>
      <c r="B88" s="2" t="str">
        <f>"0086D042"</f>
        <v>0086D042</v>
      </c>
      <c r="C88" s="2" t="str">
        <f>"林嵩竣"</f>
        <v>林嵩竣</v>
      </c>
      <c r="L88" s="2">
        <v>1</v>
      </c>
      <c r="O88" s="2">
        <v>1</v>
      </c>
      <c r="P88" s="2">
        <v>1</v>
      </c>
      <c r="R88" s="2">
        <f t="shared" si="3"/>
        <v>3</v>
      </c>
    </row>
    <row r="89" spans="1:18" x14ac:dyDescent="0.3">
      <c r="A89" s="2" t="str">
        <f t="shared" si="2"/>
        <v>輪機工程學系動力工程組</v>
      </c>
      <c r="B89" s="2" t="str">
        <f>"0086D043"</f>
        <v>0086D043</v>
      </c>
      <c r="C89" s="2" t="str">
        <f>"曾昱翔"</f>
        <v>曾昱翔</v>
      </c>
      <c r="F89" s="2">
        <v>1</v>
      </c>
      <c r="I89" s="2">
        <v>1</v>
      </c>
      <c r="M89" s="2">
        <v>1</v>
      </c>
      <c r="R89" s="2">
        <f t="shared" si="3"/>
        <v>3</v>
      </c>
    </row>
    <row r="90" spans="1:18" x14ac:dyDescent="0.3">
      <c r="A90" s="2" t="str">
        <f t="shared" si="2"/>
        <v>輪機工程學系動力工程組</v>
      </c>
      <c r="B90" s="2" t="str">
        <f>"0086D044"</f>
        <v>0086D044</v>
      </c>
      <c r="C90" s="2" t="str">
        <f>"蔡宇倫"</f>
        <v>蔡宇倫</v>
      </c>
      <c r="L90" s="2">
        <v>1</v>
      </c>
      <c r="R90" s="2">
        <f t="shared" si="3"/>
        <v>1</v>
      </c>
    </row>
    <row r="91" spans="1:18" x14ac:dyDescent="0.3">
      <c r="A91" s="2" t="str">
        <f t="shared" si="2"/>
        <v>輪機工程學系動力工程組</v>
      </c>
      <c r="B91" s="2" t="str">
        <f>"0086D045"</f>
        <v>0086D045</v>
      </c>
      <c r="C91" s="2" t="str">
        <f>"陳奕翰"</f>
        <v>陳奕翰</v>
      </c>
      <c r="R91" s="2">
        <f t="shared" si="3"/>
        <v>0</v>
      </c>
    </row>
    <row r="92" spans="1:18" x14ac:dyDescent="0.3">
      <c r="A92" s="2" t="str">
        <f t="shared" si="2"/>
        <v>輪機工程學系動力工程組</v>
      </c>
      <c r="B92" s="2" t="str">
        <f>"0086D046"</f>
        <v>0086D046</v>
      </c>
      <c r="C92" s="2" t="str">
        <f>"李子敬"</f>
        <v>李子敬</v>
      </c>
      <c r="R92" s="2">
        <f t="shared" si="3"/>
        <v>0</v>
      </c>
    </row>
    <row r="93" spans="1:18" x14ac:dyDescent="0.3">
      <c r="A93" s="2" t="str">
        <f t="shared" si="2"/>
        <v>輪機工程學系動力工程組</v>
      </c>
      <c r="B93" s="2" t="str">
        <f>"0086D047"</f>
        <v>0086D047</v>
      </c>
      <c r="C93" s="2" t="str">
        <f>"林冠群"</f>
        <v>林冠群</v>
      </c>
      <c r="R93" s="2">
        <f t="shared" si="3"/>
        <v>0</v>
      </c>
    </row>
    <row r="94" spans="1:18" x14ac:dyDescent="0.3">
      <c r="A94" s="2" t="str">
        <f t="shared" si="2"/>
        <v>輪機工程學系動力工程組</v>
      </c>
      <c r="B94" s="2" t="str">
        <f>"0086D048"</f>
        <v>0086D048</v>
      </c>
      <c r="C94" s="2" t="str">
        <f>"盧宜慶"</f>
        <v>盧宜慶</v>
      </c>
      <c r="G94" s="2">
        <v>1</v>
      </c>
      <c r="R94" s="2">
        <f t="shared" si="3"/>
        <v>1</v>
      </c>
    </row>
    <row r="95" spans="1:18" x14ac:dyDescent="0.3">
      <c r="A95" s="2" t="s">
        <v>0</v>
      </c>
      <c r="B95" s="2" t="s">
        <v>1</v>
      </c>
      <c r="C95" s="2" t="s">
        <v>2</v>
      </c>
      <c r="D95" s="3" t="s">
        <v>18</v>
      </c>
      <c r="E95" s="4" t="s">
        <v>19</v>
      </c>
      <c r="F95" s="4" t="s">
        <v>31</v>
      </c>
      <c r="G95" s="4" t="s">
        <v>20</v>
      </c>
      <c r="H95" s="4" t="s">
        <v>21</v>
      </c>
      <c r="I95" s="4" t="s">
        <v>22</v>
      </c>
      <c r="J95" s="4" t="s">
        <v>23</v>
      </c>
      <c r="K95" s="4" t="s">
        <v>24</v>
      </c>
      <c r="L95" s="4" t="s">
        <v>25</v>
      </c>
      <c r="M95" s="4" t="s">
        <v>26</v>
      </c>
      <c r="N95" s="4" t="s">
        <v>27</v>
      </c>
      <c r="O95" s="4" t="s">
        <v>28</v>
      </c>
      <c r="P95" s="4" t="s">
        <v>29</v>
      </c>
      <c r="Q95" s="4" t="s">
        <v>30</v>
      </c>
      <c r="R95" s="1" t="s">
        <v>3</v>
      </c>
    </row>
    <row r="96" spans="1:18" x14ac:dyDescent="0.3">
      <c r="A96" s="2" t="str">
        <f t="shared" si="2"/>
        <v>輪機工程學系動力工程組</v>
      </c>
      <c r="B96" s="2" t="str">
        <f>"0086D049"</f>
        <v>0086D049</v>
      </c>
      <c r="C96" s="2" t="str">
        <f>"翁偉峰"</f>
        <v>翁偉峰</v>
      </c>
      <c r="H96" s="2">
        <v>1</v>
      </c>
      <c r="L96" s="2">
        <v>1</v>
      </c>
      <c r="P96" s="2">
        <v>1</v>
      </c>
      <c r="R96" s="2">
        <f t="shared" si="3"/>
        <v>3</v>
      </c>
    </row>
    <row r="97" spans="1:18" x14ac:dyDescent="0.3">
      <c r="A97" s="2" t="str">
        <f t="shared" si="2"/>
        <v>輪機工程學系動力工程組</v>
      </c>
      <c r="B97" s="2" t="str">
        <f>"0086D050"</f>
        <v>0086D050</v>
      </c>
      <c r="C97" s="2" t="str">
        <f>"林建銘"</f>
        <v>林建銘</v>
      </c>
      <c r="G97" s="2">
        <v>1</v>
      </c>
      <c r="L97" s="2">
        <v>1</v>
      </c>
      <c r="O97" s="2">
        <v>1</v>
      </c>
      <c r="R97" s="2">
        <f t="shared" si="3"/>
        <v>3</v>
      </c>
    </row>
    <row r="98" spans="1:18" x14ac:dyDescent="0.3">
      <c r="A98" s="2" t="str">
        <f t="shared" si="2"/>
        <v>輪機工程學系動力工程組</v>
      </c>
      <c r="B98" s="2" t="str">
        <f>"0086D051"</f>
        <v>0086D051</v>
      </c>
      <c r="C98" s="2" t="str">
        <f>"吳庭鋒"</f>
        <v>吳庭鋒</v>
      </c>
      <c r="R98" s="2">
        <f t="shared" si="3"/>
        <v>0</v>
      </c>
    </row>
    <row r="99" spans="1:18" x14ac:dyDescent="0.3">
      <c r="A99" s="2" t="str">
        <f t="shared" si="2"/>
        <v>輪機工程學系動力工程組</v>
      </c>
      <c r="B99" s="2" t="str">
        <f>"0086D052"</f>
        <v>0086D052</v>
      </c>
      <c r="C99" s="2" t="str">
        <f>"李欣祐"</f>
        <v>李欣祐</v>
      </c>
      <c r="R99" s="2">
        <f t="shared" si="3"/>
        <v>0</v>
      </c>
    </row>
    <row r="100" spans="1:18" x14ac:dyDescent="0.3">
      <c r="A100" s="2" t="str">
        <f t="shared" si="2"/>
        <v>輪機工程學系動力工程組</v>
      </c>
      <c r="B100" s="2" t="str">
        <f>"0086D053"</f>
        <v>0086D053</v>
      </c>
      <c r="C100" s="2" t="str">
        <f>"史挺玄"</f>
        <v>史挺玄</v>
      </c>
      <c r="R100" s="2">
        <f t="shared" si="3"/>
        <v>0</v>
      </c>
    </row>
    <row r="101" spans="1:18" x14ac:dyDescent="0.3">
      <c r="A101" s="2" t="str">
        <f t="shared" si="2"/>
        <v>輪機工程學系動力工程組</v>
      </c>
      <c r="B101" s="2" t="str">
        <f>"0086D054"</f>
        <v>0086D054</v>
      </c>
      <c r="C101" s="2" t="str">
        <f>"李宇韜"</f>
        <v>李宇韜</v>
      </c>
      <c r="R101" s="2">
        <f t="shared" si="3"/>
        <v>0</v>
      </c>
    </row>
    <row r="102" spans="1:18" x14ac:dyDescent="0.3">
      <c r="A102" s="2" t="str">
        <f t="shared" si="2"/>
        <v>輪機工程學系動力工程組</v>
      </c>
      <c r="B102" s="2" t="str">
        <f>"0086D055"</f>
        <v>0086D055</v>
      </c>
      <c r="C102" s="2" t="str">
        <f>"曾子屏"</f>
        <v>曾子屏</v>
      </c>
      <c r="R102" s="2">
        <f t="shared" si="3"/>
        <v>0</v>
      </c>
    </row>
    <row r="103" spans="1:18" x14ac:dyDescent="0.3">
      <c r="A103" s="2" t="str">
        <f t="shared" si="2"/>
        <v>輪機工程學系動力工程組</v>
      </c>
      <c r="B103" s="2" t="str">
        <f>"0086D056"</f>
        <v>0086D056</v>
      </c>
      <c r="C103" s="2" t="str">
        <f>"蔡濟陽"</f>
        <v>蔡濟陽</v>
      </c>
      <c r="R103" s="2">
        <f t="shared" si="3"/>
        <v>0</v>
      </c>
    </row>
    <row r="104" spans="1:18" x14ac:dyDescent="0.3">
      <c r="A104" s="2" t="str">
        <f t="shared" si="2"/>
        <v>輪機工程學系動力工程組</v>
      </c>
      <c r="B104" s="2" t="str">
        <f>"0086D057"</f>
        <v>0086D057</v>
      </c>
      <c r="C104" s="2" t="str">
        <f>"彭珮綺"</f>
        <v>彭珮綺</v>
      </c>
      <c r="R104" s="2">
        <f t="shared" si="3"/>
        <v>0</v>
      </c>
    </row>
    <row r="105" spans="1:18" x14ac:dyDescent="0.3">
      <c r="A105" s="2" t="str">
        <f t="shared" si="2"/>
        <v>輪機工程學系動力工程組</v>
      </c>
      <c r="B105" s="2" t="str">
        <f>"0086D058"</f>
        <v>0086D058</v>
      </c>
      <c r="C105" s="2" t="str">
        <f>"林于舜"</f>
        <v>林于舜</v>
      </c>
      <c r="R105" s="2">
        <f t="shared" si="3"/>
        <v>0</v>
      </c>
    </row>
    <row r="106" spans="1:18" x14ac:dyDescent="0.3">
      <c r="A106" s="2" t="str">
        <f t="shared" si="2"/>
        <v>輪機工程學系動力工程組</v>
      </c>
      <c r="B106" s="2" t="str">
        <f>"0086D059"</f>
        <v>0086D059</v>
      </c>
      <c r="C106" s="2" t="str">
        <f>"張宸溥"</f>
        <v>張宸溥</v>
      </c>
      <c r="R106" s="2">
        <f t="shared" si="3"/>
        <v>0</v>
      </c>
    </row>
    <row r="107" spans="1:18" x14ac:dyDescent="0.3">
      <c r="A107" s="2" t="str">
        <f t="shared" si="2"/>
        <v>輪機工程學系動力工程組</v>
      </c>
      <c r="B107" s="2" t="str">
        <f>"00677030"</f>
        <v>00677030</v>
      </c>
      <c r="C107" s="2" t="s">
        <v>73</v>
      </c>
      <c r="R107" s="2">
        <f t="shared" si="3"/>
        <v>0</v>
      </c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&amp;C1081化學補強教學出席率登記本</oddHeader>
    <oddFooter>&amp;A&amp;R第 &amp;P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97"/>
  <sheetViews>
    <sheetView view="pageLayout" zoomScale="95" zoomScaleNormal="100" zoomScalePageLayoutView="95" workbookViewId="0">
      <selection activeCell="A2" sqref="A2:R97"/>
    </sheetView>
  </sheetViews>
  <sheetFormatPr defaultColWidth="8.77734375" defaultRowHeight="16.2" x14ac:dyDescent="0.3"/>
  <cols>
    <col min="1" max="1" width="6.109375" style="2" customWidth="1"/>
    <col min="2" max="2" width="8.77734375" style="2"/>
    <col min="3" max="3" width="8" style="2" customWidth="1"/>
    <col min="4" max="18" width="4.6640625" style="2" customWidth="1"/>
    <col min="19" max="16384" width="8.77734375" style="2"/>
  </cols>
  <sheetData>
    <row r="2" spans="1:18" x14ac:dyDescent="0.3">
      <c r="A2" s="2" t="s">
        <v>0</v>
      </c>
      <c r="B2" s="2" t="s">
        <v>1</v>
      </c>
      <c r="C2" s="2" t="s">
        <v>2</v>
      </c>
      <c r="D2" s="3" t="s">
        <v>18</v>
      </c>
      <c r="E2" s="4" t="s">
        <v>19</v>
      </c>
      <c r="F2" s="4" t="s">
        <v>31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 t="s">
        <v>27</v>
      </c>
      <c r="O2" s="4" t="s">
        <v>28</v>
      </c>
      <c r="P2" s="4" t="s">
        <v>29</v>
      </c>
      <c r="Q2" s="4" t="s">
        <v>30</v>
      </c>
      <c r="R2" s="1" t="s">
        <v>3</v>
      </c>
    </row>
    <row r="3" spans="1:18" x14ac:dyDescent="0.3">
      <c r="A3" s="2" t="str">
        <f t="shared" ref="A3:A67" si="0">"機械與機電工程學系"</f>
        <v>機械與機電工程學系</v>
      </c>
      <c r="B3" s="2" t="str">
        <f>"00872001"</f>
        <v>00872001</v>
      </c>
      <c r="C3" s="2" t="str">
        <f>"唐蔡宇"</f>
        <v>唐蔡宇</v>
      </c>
      <c r="R3" s="2">
        <f>SUM(D3:Q3)</f>
        <v>0</v>
      </c>
    </row>
    <row r="4" spans="1:18" x14ac:dyDescent="0.3">
      <c r="A4" s="2" t="str">
        <f t="shared" si="0"/>
        <v>機械與機電工程學系</v>
      </c>
      <c r="B4" s="2" t="str">
        <f>"00872002"</f>
        <v>00872002</v>
      </c>
      <c r="C4" s="2" t="str">
        <f>"黃棋住"</f>
        <v>黃棋住</v>
      </c>
      <c r="R4" s="2">
        <f t="shared" ref="R4:R67" si="1">SUM(D4:Q4)</f>
        <v>0</v>
      </c>
    </row>
    <row r="5" spans="1:18" x14ac:dyDescent="0.3">
      <c r="A5" s="2" t="str">
        <f t="shared" si="0"/>
        <v>機械與機電工程學系</v>
      </c>
      <c r="B5" s="2" t="str">
        <f>"00872003"</f>
        <v>00872003</v>
      </c>
      <c r="C5" s="2" t="str">
        <f>"鍾尚恩"</f>
        <v>鍾尚恩</v>
      </c>
      <c r="F5" s="2">
        <v>1</v>
      </c>
      <c r="I5" s="2">
        <v>1</v>
      </c>
      <c r="M5" s="2">
        <v>1</v>
      </c>
      <c r="Q5" s="2">
        <v>1</v>
      </c>
      <c r="R5" s="2">
        <f t="shared" si="1"/>
        <v>4</v>
      </c>
    </row>
    <row r="6" spans="1:18" x14ac:dyDescent="0.3">
      <c r="A6" s="2" t="str">
        <f t="shared" si="0"/>
        <v>機械與機電工程學系</v>
      </c>
      <c r="B6" s="2" t="str">
        <f>"00872004"</f>
        <v>00872004</v>
      </c>
      <c r="C6" s="2" t="str">
        <f>"陳睿宇"</f>
        <v>陳睿宇</v>
      </c>
      <c r="R6" s="2">
        <f t="shared" si="1"/>
        <v>0</v>
      </c>
    </row>
    <row r="7" spans="1:18" x14ac:dyDescent="0.3">
      <c r="A7" s="2" t="str">
        <f t="shared" si="0"/>
        <v>機械與機電工程學系</v>
      </c>
      <c r="B7" s="2" t="str">
        <f>"00872005"</f>
        <v>00872005</v>
      </c>
      <c r="C7" s="2" t="str">
        <f>"黃亭毓"</f>
        <v>黃亭毓</v>
      </c>
      <c r="R7" s="2">
        <f t="shared" si="1"/>
        <v>0</v>
      </c>
    </row>
    <row r="8" spans="1:18" x14ac:dyDescent="0.3">
      <c r="A8" s="2" t="str">
        <f t="shared" si="0"/>
        <v>機械與機電工程學系</v>
      </c>
      <c r="B8" s="2" t="str">
        <f>"00872006"</f>
        <v>00872006</v>
      </c>
      <c r="C8" s="2" t="str">
        <f>"阮柏翰"</f>
        <v>阮柏翰</v>
      </c>
      <c r="R8" s="2">
        <f t="shared" si="1"/>
        <v>0</v>
      </c>
    </row>
    <row r="9" spans="1:18" x14ac:dyDescent="0.3">
      <c r="A9" s="2" t="str">
        <f t="shared" si="0"/>
        <v>機械與機電工程學系</v>
      </c>
      <c r="B9" s="2" t="str">
        <f>"00872007"</f>
        <v>00872007</v>
      </c>
      <c r="C9" s="2" t="str">
        <f>"范子軒"</f>
        <v>范子軒</v>
      </c>
      <c r="R9" s="2">
        <f t="shared" si="1"/>
        <v>0</v>
      </c>
    </row>
    <row r="10" spans="1:18" x14ac:dyDescent="0.3">
      <c r="A10" s="2" t="str">
        <f t="shared" si="0"/>
        <v>機械與機電工程學系</v>
      </c>
      <c r="B10" s="2" t="str">
        <f>"00872008"</f>
        <v>00872008</v>
      </c>
      <c r="C10" s="2" t="str">
        <f>"林宏勵"</f>
        <v>林宏勵</v>
      </c>
      <c r="R10" s="2">
        <f t="shared" si="1"/>
        <v>0</v>
      </c>
    </row>
    <row r="11" spans="1:18" x14ac:dyDescent="0.3">
      <c r="A11" s="2" t="str">
        <f t="shared" si="0"/>
        <v>機械與機電工程學系</v>
      </c>
      <c r="B11" s="2" t="str">
        <f>"00872009"</f>
        <v>00872009</v>
      </c>
      <c r="C11" s="2" t="str">
        <f>"林緯杰"</f>
        <v>林緯杰</v>
      </c>
      <c r="R11" s="2">
        <f t="shared" si="1"/>
        <v>0</v>
      </c>
    </row>
    <row r="12" spans="1:18" x14ac:dyDescent="0.3">
      <c r="A12" s="2" t="str">
        <f t="shared" si="0"/>
        <v>機械與機電工程學系</v>
      </c>
      <c r="B12" s="2" t="str">
        <f>"00872010"</f>
        <v>00872010</v>
      </c>
      <c r="C12" s="2" t="str">
        <f>"王乃綸"</f>
        <v>王乃綸</v>
      </c>
      <c r="R12" s="2">
        <f t="shared" si="1"/>
        <v>0</v>
      </c>
    </row>
    <row r="13" spans="1:18" x14ac:dyDescent="0.3">
      <c r="A13" s="2" t="str">
        <f t="shared" si="0"/>
        <v>機械與機電工程學系</v>
      </c>
      <c r="B13" s="2" t="str">
        <f>"00872011"</f>
        <v>00872011</v>
      </c>
      <c r="C13" s="2" t="str">
        <f>"陳佳誠"</f>
        <v>陳佳誠</v>
      </c>
      <c r="R13" s="2">
        <f t="shared" si="1"/>
        <v>0</v>
      </c>
    </row>
    <row r="14" spans="1:18" x14ac:dyDescent="0.3">
      <c r="A14" s="2" t="str">
        <f t="shared" si="0"/>
        <v>機械與機電工程學系</v>
      </c>
      <c r="B14" s="2" t="str">
        <f>"00872012"</f>
        <v>00872012</v>
      </c>
      <c r="C14" s="2" t="str">
        <f>"林家禾"</f>
        <v>林家禾</v>
      </c>
      <c r="R14" s="2">
        <f t="shared" si="1"/>
        <v>0</v>
      </c>
    </row>
    <row r="15" spans="1:18" x14ac:dyDescent="0.3">
      <c r="A15" s="2" t="str">
        <f t="shared" si="0"/>
        <v>機械與機電工程學系</v>
      </c>
      <c r="B15" s="2" t="str">
        <f>"00872013"</f>
        <v>00872013</v>
      </c>
      <c r="C15" s="2" t="str">
        <f>"連皇政"</f>
        <v>連皇政</v>
      </c>
      <c r="R15" s="2">
        <f t="shared" si="1"/>
        <v>0</v>
      </c>
    </row>
    <row r="16" spans="1:18" x14ac:dyDescent="0.3">
      <c r="A16" s="2" t="str">
        <f t="shared" si="0"/>
        <v>機械與機電工程學系</v>
      </c>
      <c r="B16" s="2" t="str">
        <f>"00872014"</f>
        <v>00872014</v>
      </c>
      <c r="C16" s="2" t="str">
        <f>"林承錦"</f>
        <v>林承錦</v>
      </c>
      <c r="R16" s="2">
        <f t="shared" si="1"/>
        <v>0</v>
      </c>
    </row>
    <row r="17" spans="1:18" x14ac:dyDescent="0.3">
      <c r="A17" s="2" t="str">
        <f t="shared" si="0"/>
        <v>機械與機電工程學系</v>
      </c>
      <c r="B17" s="2" t="str">
        <f>"00872015"</f>
        <v>00872015</v>
      </c>
      <c r="C17" s="2" t="str">
        <f>"黃熹炫"</f>
        <v>黃熹炫</v>
      </c>
      <c r="R17" s="2">
        <f t="shared" si="1"/>
        <v>0</v>
      </c>
    </row>
    <row r="18" spans="1:18" x14ac:dyDescent="0.3">
      <c r="A18" s="2" t="str">
        <f t="shared" si="0"/>
        <v>機械與機電工程學系</v>
      </c>
      <c r="B18" s="2" t="str">
        <f>"00872016"</f>
        <v>00872016</v>
      </c>
      <c r="C18" s="2" t="str">
        <f>"張博彥"</f>
        <v>張博彥</v>
      </c>
      <c r="F18" s="2">
        <v>1</v>
      </c>
      <c r="H18" s="2">
        <v>1</v>
      </c>
      <c r="L18" s="2">
        <v>1</v>
      </c>
      <c r="O18" s="2">
        <v>1</v>
      </c>
      <c r="R18" s="2">
        <f t="shared" si="1"/>
        <v>4</v>
      </c>
    </row>
    <row r="19" spans="1:18" x14ac:dyDescent="0.3">
      <c r="A19" s="2" t="str">
        <f t="shared" si="0"/>
        <v>機械與機電工程學系</v>
      </c>
      <c r="B19" s="2" t="str">
        <f>"00872017"</f>
        <v>00872017</v>
      </c>
      <c r="C19" s="2" t="str">
        <f>"蔡振揚"</f>
        <v>蔡振揚</v>
      </c>
      <c r="R19" s="2">
        <f t="shared" si="1"/>
        <v>0</v>
      </c>
    </row>
    <row r="20" spans="1:18" x14ac:dyDescent="0.3">
      <c r="A20" s="2" t="str">
        <f t="shared" si="0"/>
        <v>機械與機電工程學系</v>
      </c>
      <c r="B20" s="2" t="str">
        <f>"00872018"</f>
        <v>00872018</v>
      </c>
      <c r="C20" s="2" t="str">
        <f>"吳岳庭"</f>
        <v>吳岳庭</v>
      </c>
      <c r="R20" s="2">
        <f t="shared" si="1"/>
        <v>0</v>
      </c>
    </row>
    <row r="21" spans="1:18" x14ac:dyDescent="0.3">
      <c r="A21" s="2" t="str">
        <f t="shared" si="0"/>
        <v>機械與機電工程學系</v>
      </c>
      <c r="B21" s="2" t="str">
        <f>"00872019"</f>
        <v>00872019</v>
      </c>
      <c r="C21" s="2" t="str">
        <f>"張富嘉"</f>
        <v>張富嘉</v>
      </c>
      <c r="R21" s="2">
        <f t="shared" si="1"/>
        <v>0</v>
      </c>
    </row>
    <row r="22" spans="1:18" x14ac:dyDescent="0.3">
      <c r="A22" s="2" t="str">
        <f t="shared" si="0"/>
        <v>機械與機電工程學系</v>
      </c>
      <c r="B22" s="2" t="str">
        <f>"00872020"</f>
        <v>00872020</v>
      </c>
      <c r="C22" s="2" t="str">
        <f>"洪御家"</f>
        <v>洪御家</v>
      </c>
      <c r="R22" s="2">
        <f t="shared" si="1"/>
        <v>0</v>
      </c>
    </row>
    <row r="23" spans="1:18" x14ac:dyDescent="0.3">
      <c r="A23" s="2" t="str">
        <f t="shared" si="0"/>
        <v>機械與機電工程學系</v>
      </c>
      <c r="B23" s="2" t="str">
        <f>"00872021"</f>
        <v>00872021</v>
      </c>
      <c r="C23" s="2" t="str">
        <f>"黃浩宇"</f>
        <v>黃浩宇</v>
      </c>
      <c r="R23" s="2">
        <f t="shared" si="1"/>
        <v>0</v>
      </c>
    </row>
    <row r="24" spans="1:18" x14ac:dyDescent="0.3">
      <c r="A24" s="2" t="str">
        <f t="shared" si="0"/>
        <v>機械與機電工程學系</v>
      </c>
      <c r="B24" s="2" t="str">
        <f>"00872022"</f>
        <v>00872022</v>
      </c>
      <c r="C24" s="2" t="str">
        <f>"楊馥光"</f>
        <v>楊馥光</v>
      </c>
      <c r="R24" s="2">
        <f t="shared" si="1"/>
        <v>0</v>
      </c>
    </row>
    <row r="25" spans="1:18" x14ac:dyDescent="0.3">
      <c r="A25" s="2" t="str">
        <f t="shared" si="0"/>
        <v>機械與機電工程學系</v>
      </c>
      <c r="B25" s="2" t="str">
        <f>"00872023"</f>
        <v>00872023</v>
      </c>
      <c r="C25" s="2" t="str">
        <f>"黃浚瑋"</f>
        <v>黃浚瑋</v>
      </c>
      <c r="I25" s="2">
        <v>1</v>
      </c>
      <c r="R25" s="2">
        <f t="shared" si="1"/>
        <v>1</v>
      </c>
    </row>
    <row r="26" spans="1:18" x14ac:dyDescent="0.3">
      <c r="A26" s="2" t="str">
        <f t="shared" si="0"/>
        <v>機械與機電工程學系</v>
      </c>
      <c r="B26" s="2" t="str">
        <f>"00872024"</f>
        <v>00872024</v>
      </c>
      <c r="C26" s="2" t="str">
        <f>"蕭聿筌"</f>
        <v>蕭聿筌</v>
      </c>
      <c r="R26" s="2">
        <f t="shared" si="1"/>
        <v>0</v>
      </c>
    </row>
    <row r="27" spans="1:18" x14ac:dyDescent="0.3">
      <c r="A27" s="2" t="str">
        <f t="shared" si="0"/>
        <v>機械與機電工程學系</v>
      </c>
      <c r="B27" s="2" t="str">
        <f>"00872025"</f>
        <v>00872025</v>
      </c>
      <c r="C27" s="2" t="str">
        <f>"徐至賢"</f>
        <v>徐至賢</v>
      </c>
      <c r="R27" s="2">
        <f t="shared" si="1"/>
        <v>0</v>
      </c>
    </row>
    <row r="28" spans="1:18" x14ac:dyDescent="0.3">
      <c r="A28" s="2" t="str">
        <f t="shared" si="0"/>
        <v>機械與機電工程學系</v>
      </c>
      <c r="B28" s="2" t="str">
        <f>"00872026"</f>
        <v>00872026</v>
      </c>
      <c r="C28" s="2" t="str">
        <f>"王冠勛"</f>
        <v>王冠勛</v>
      </c>
      <c r="R28" s="2">
        <f t="shared" si="1"/>
        <v>0</v>
      </c>
    </row>
    <row r="29" spans="1:18" x14ac:dyDescent="0.3">
      <c r="A29" s="2" t="str">
        <f t="shared" si="0"/>
        <v>機械與機電工程學系</v>
      </c>
      <c r="B29" s="2" t="str">
        <f>"00872027"</f>
        <v>00872027</v>
      </c>
      <c r="C29" s="2" t="str">
        <f>"鄭宥銘"</f>
        <v>鄭宥銘</v>
      </c>
      <c r="R29" s="2">
        <f t="shared" si="1"/>
        <v>0</v>
      </c>
    </row>
    <row r="30" spans="1:18" x14ac:dyDescent="0.3">
      <c r="A30" s="2" t="str">
        <f t="shared" si="0"/>
        <v>機械與機電工程學系</v>
      </c>
      <c r="B30" s="2" t="str">
        <f>"00872028"</f>
        <v>00872028</v>
      </c>
      <c r="C30" s="2" t="str">
        <f>"吳念翰"</f>
        <v>吳念翰</v>
      </c>
      <c r="R30" s="2">
        <f t="shared" si="1"/>
        <v>0</v>
      </c>
    </row>
    <row r="31" spans="1:18" x14ac:dyDescent="0.3">
      <c r="A31" s="2" t="str">
        <f t="shared" si="0"/>
        <v>機械與機電工程學系</v>
      </c>
      <c r="B31" s="2" t="str">
        <f>"00872029"</f>
        <v>00872029</v>
      </c>
      <c r="C31" s="2" t="str">
        <f>"蘇昶鴻"</f>
        <v>蘇昶鴻</v>
      </c>
      <c r="R31" s="2">
        <f t="shared" si="1"/>
        <v>0</v>
      </c>
    </row>
    <row r="32" spans="1:18" x14ac:dyDescent="0.3">
      <c r="A32" s="2" t="str">
        <f t="shared" si="0"/>
        <v>機械與機電工程學系</v>
      </c>
      <c r="B32" s="2" t="str">
        <f>"00872030"</f>
        <v>00872030</v>
      </c>
      <c r="C32" s="2" t="str">
        <f>"劉子龍"</f>
        <v>劉子龍</v>
      </c>
      <c r="R32" s="2">
        <f t="shared" si="1"/>
        <v>0</v>
      </c>
    </row>
    <row r="33" spans="1:18" x14ac:dyDescent="0.3">
      <c r="A33" s="2" t="str">
        <f t="shared" si="0"/>
        <v>機械與機電工程學系</v>
      </c>
      <c r="B33" s="2" t="str">
        <f>"00872031"</f>
        <v>00872031</v>
      </c>
      <c r="C33" s="2" t="str">
        <f>"黃玉衡"</f>
        <v>黃玉衡</v>
      </c>
      <c r="R33" s="2">
        <f t="shared" si="1"/>
        <v>0</v>
      </c>
    </row>
    <row r="34" spans="1:18" x14ac:dyDescent="0.3">
      <c r="A34" s="2" t="str">
        <f t="shared" si="0"/>
        <v>機械與機電工程學系</v>
      </c>
      <c r="B34" s="2" t="str">
        <f>"00872032"</f>
        <v>00872032</v>
      </c>
      <c r="C34" s="2" t="str">
        <f>"江亞璇"</f>
        <v>江亞璇</v>
      </c>
      <c r="R34" s="2">
        <f t="shared" si="1"/>
        <v>0</v>
      </c>
    </row>
    <row r="35" spans="1:18" x14ac:dyDescent="0.3">
      <c r="A35" s="2" t="str">
        <f t="shared" si="0"/>
        <v>機械與機電工程學系</v>
      </c>
      <c r="B35" s="2" t="str">
        <f>"00872033"</f>
        <v>00872033</v>
      </c>
      <c r="C35" s="2" t="str">
        <f>"呂哲承"</f>
        <v>呂哲承</v>
      </c>
      <c r="R35" s="2">
        <f t="shared" si="1"/>
        <v>0</v>
      </c>
    </row>
    <row r="36" spans="1:18" x14ac:dyDescent="0.3">
      <c r="A36" s="2" t="str">
        <f t="shared" si="0"/>
        <v>機械與機電工程學系</v>
      </c>
      <c r="B36" s="2" t="str">
        <f>"00872034"</f>
        <v>00872034</v>
      </c>
      <c r="C36" s="2" t="str">
        <f>"翁郁誠"</f>
        <v>翁郁誠</v>
      </c>
      <c r="R36" s="2">
        <f t="shared" si="1"/>
        <v>0</v>
      </c>
    </row>
    <row r="37" spans="1:18" x14ac:dyDescent="0.3">
      <c r="A37" s="2" t="str">
        <f t="shared" si="0"/>
        <v>機械與機電工程學系</v>
      </c>
      <c r="B37" s="2" t="str">
        <f>"00872035"</f>
        <v>00872035</v>
      </c>
      <c r="C37" s="2" t="str">
        <f>"簡尚彬"</f>
        <v>簡尚彬</v>
      </c>
      <c r="R37" s="2">
        <f t="shared" si="1"/>
        <v>0</v>
      </c>
    </row>
    <row r="38" spans="1:18" x14ac:dyDescent="0.3">
      <c r="A38" s="2" t="str">
        <f t="shared" si="0"/>
        <v>機械與機電工程學系</v>
      </c>
      <c r="B38" s="2" t="str">
        <f>"00872036"</f>
        <v>00872036</v>
      </c>
      <c r="C38" s="2" t="str">
        <f>"蔡宜玲"</f>
        <v>蔡宜玲</v>
      </c>
      <c r="R38" s="2">
        <f t="shared" si="1"/>
        <v>0</v>
      </c>
    </row>
    <row r="39" spans="1:18" x14ac:dyDescent="0.3">
      <c r="A39" s="2" t="str">
        <f t="shared" si="0"/>
        <v>機械與機電工程學系</v>
      </c>
      <c r="B39" s="2" t="str">
        <f>"00872037"</f>
        <v>00872037</v>
      </c>
      <c r="C39" s="2" t="str">
        <f>"王凱樂"</f>
        <v>王凱樂</v>
      </c>
      <c r="R39" s="2">
        <f t="shared" si="1"/>
        <v>0</v>
      </c>
    </row>
    <row r="40" spans="1:18" x14ac:dyDescent="0.3">
      <c r="A40" s="2" t="str">
        <f t="shared" si="0"/>
        <v>機械與機電工程學系</v>
      </c>
      <c r="B40" s="2" t="str">
        <f>"00872038"</f>
        <v>00872038</v>
      </c>
      <c r="C40" s="2" t="str">
        <f>"李品德"</f>
        <v>李品德</v>
      </c>
      <c r="R40" s="2">
        <f t="shared" si="1"/>
        <v>0</v>
      </c>
    </row>
    <row r="41" spans="1:18" x14ac:dyDescent="0.3">
      <c r="A41" s="2" t="str">
        <f t="shared" si="0"/>
        <v>機械與機電工程學系</v>
      </c>
      <c r="B41" s="2" t="str">
        <f>"00872039"</f>
        <v>00872039</v>
      </c>
      <c r="C41" s="2" t="str">
        <f>"陳泓宇"</f>
        <v>陳泓宇</v>
      </c>
      <c r="R41" s="2">
        <f t="shared" si="1"/>
        <v>0</v>
      </c>
    </row>
    <row r="42" spans="1:18" x14ac:dyDescent="0.3">
      <c r="A42" s="2" t="str">
        <f t="shared" si="0"/>
        <v>機械與機電工程學系</v>
      </c>
      <c r="B42" s="2" t="str">
        <f>"00872040"</f>
        <v>00872040</v>
      </c>
      <c r="C42" s="2" t="str">
        <f>"郭家維"</f>
        <v>郭家維</v>
      </c>
      <c r="R42" s="2">
        <f t="shared" si="1"/>
        <v>0</v>
      </c>
    </row>
    <row r="43" spans="1:18" x14ac:dyDescent="0.3">
      <c r="A43" s="2" t="str">
        <f t="shared" si="0"/>
        <v>機械與機電工程學系</v>
      </c>
      <c r="B43" s="2" t="str">
        <f>"00872041"</f>
        <v>00872041</v>
      </c>
      <c r="C43" s="2" t="str">
        <f>"賴承雨"</f>
        <v>賴承雨</v>
      </c>
      <c r="R43" s="2">
        <f t="shared" si="1"/>
        <v>0</v>
      </c>
    </row>
    <row r="44" spans="1:18" x14ac:dyDescent="0.3">
      <c r="A44" s="2" t="str">
        <f t="shared" si="0"/>
        <v>機械與機電工程學系</v>
      </c>
      <c r="B44" s="2" t="str">
        <f>"00872042"</f>
        <v>00872042</v>
      </c>
      <c r="C44" s="2" t="str">
        <f>"盧柏岑"</f>
        <v>盧柏岑</v>
      </c>
      <c r="R44" s="2">
        <f t="shared" si="1"/>
        <v>0</v>
      </c>
    </row>
    <row r="45" spans="1:18" x14ac:dyDescent="0.3">
      <c r="A45" s="2" t="str">
        <f t="shared" si="0"/>
        <v>機械與機電工程學系</v>
      </c>
      <c r="B45" s="2" t="str">
        <f>"00872043"</f>
        <v>00872043</v>
      </c>
      <c r="C45" s="2" t="str">
        <f>"呂季鴻"</f>
        <v>呂季鴻</v>
      </c>
      <c r="E45" s="2">
        <v>1</v>
      </c>
      <c r="G45" s="2">
        <v>1</v>
      </c>
      <c r="K45" s="2">
        <v>1</v>
      </c>
      <c r="O45" s="2">
        <v>1</v>
      </c>
      <c r="R45" s="2">
        <f t="shared" si="1"/>
        <v>4</v>
      </c>
    </row>
    <row r="46" spans="1:18" x14ac:dyDescent="0.3">
      <c r="A46" s="2" t="str">
        <f t="shared" si="0"/>
        <v>機械與機電工程學系</v>
      </c>
      <c r="B46" s="2" t="str">
        <f>"00872044"</f>
        <v>00872044</v>
      </c>
      <c r="C46" s="2" t="str">
        <f>"姚思羽"</f>
        <v>姚思羽</v>
      </c>
      <c r="R46" s="2">
        <f t="shared" si="1"/>
        <v>0</v>
      </c>
    </row>
    <row r="47" spans="1:18" x14ac:dyDescent="0.3">
      <c r="A47" s="2" t="str">
        <f t="shared" si="0"/>
        <v>機械與機電工程學系</v>
      </c>
      <c r="B47" s="2" t="str">
        <f>"00872045"</f>
        <v>00872045</v>
      </c>
      <c r="C47" s="2" t="str">
        <f>"洪聖斌"</f>
        <v>洪聖斌</v>
      </c>
      <c r="R47" s="2">
        <f t="shared" si="1"/>
        <v>0</v>
      </c>
    </row>
    <row r="48" spans="1:18" x14ac:dyDescent="0.3">
      <c r="A48" s="2" t="s">
        <v>0</v>
      </c>
      <c r="B48" s="2" t="s">
        <v>1</v>
      </c>
      <c r="C48" s="2" t="s">
        <v>2</v>
      </c>
      <c r="D48" s="3" t="s">
        <v>18</v>
      </c>
      <c r="E48" s="4" t="s">
        <v>19</v>
      </c>
      <c r="F48" s="4" t="s">
        <v>31</v>
      </c>
      <c r="G48" s="4" t="s">
        <v>20</v>
      </c>
      <c r="H48" s="4" t="s">
        <v>21</v>
      </c>
      <c r="I48" s="4" t="s">
        <v>22</v>
      </c>
      <c r="J48" s="4" t="s">
        <v>23</v>
      </c>
      <c r="K48" s="4" t="s">
        <v>24</v>
      </c>
      <c r="L48" s="4" t="s">
        <v>25</v>
      </c>
      <c r="M48" s="4" t="s">
        <v>26</v>
      </c>
      <c r="N48" s="4" t="s">
        <v>27</v>
      </c>
      <c r="O48" s="4" t="s">
        <v>28</v>
      </c>
      <c r="P48" s="4" t="s">
        <v>29</v>
      </c>
      <c r="Q48" s="4" t="s">
        <v>30</v>
      </c>
      <c r="R48" s="1" t="s">
        <v>3</v>
      </c>
    </row>
    <row r="49" spans="1:18" x14ac:dyDescent="0.3">
      <c r="A49" s="2" t="str">
        <f t="shared" si="0"/>
        <v>機械與機電工程學系</v>
      </c>
      <c r="B49" s="2" t="str">
        <f>"00872046"</f>
        <v>00872046</v>
      </c>
      <c r="C49" s="2" t="str">
        <f>"呂依璇"</f>
        <v>呂依璇</v>
      </c>
      <c r="R49" s="2">
        <f t="shared" si="1"/>
        <v>0</v>
      </c>
    </row>
    <row r="50" spans="1:18" x14ac:dyDescent="0.3">
      <c r="A50" s="2" t="str">
        <f t="shared" si="0"/>
        <v>機械與機電工程學系</v>
      </c>
      <c r="B50" s="2" t="str">
        <f>"00872101"</f>
        <v>00872101</v>
      </c>
      <c r="C50" s="2" t="str">
        <f>"黃致軒"</f>
        <v>黃致軒</v>
      </c>
      <c r="R50" s="2">
        <f t="shared" si="1"/>
        <v>0</v>
      </c>
    </row>
    <row r="51" spans="1:18" x14ac:dyDescent="0.3">
      <c r="A51" s="2" t="str">
        <f t="shared" si="0"/>
        <v>機械與機電工程學系</v>
      </c>
      <c r="B51" s="2" t="str">
        <f>"00872102"</f>
        <v>00872102</v>
      </c>
      <c r="C51" s="2" t="str">
        <f>"陳冠宇"</f>
        <v>陳冠宇</v>
      </c>
      <c r="R51" s="2">
        <f t="shared" si="1"/>
        <v>0</v>
      </c>
    </row>
    <row r="52" spans="1:18" x14ac:dyDescent="0.3">
      <c r="A52" s="2" t="str">
        <f t="shared" si="0"/>
        <v>機械與機電工程學系</v>
      </c>
      <c r="B52" s="2" t="str">
        <f>"00872103"</f>
        <v>00872103</v>
      </c>
      <c r="C52" s="2" t="str">
        <f>"陳力甄"</f>
        <v>陳力甄</v>
      </c>
      <c r="R52" s="2">
        <f t="shared" si="1"/>
        <v>0</v>
      </c>
    </row>
    <row r="53" spans="1:18" x14ac:dyDescent="0.3">
      <c r="A53" s="2" t="str">
        <f t="shared" si="0"/>
        <v>機械與機電工程學系</v>
      </c>
      <c r="B53" s="2" t="str">
        <f>"00872104"</f>
        <v>00872104</v>
      </c>
      <c r="C53" s="2" t="str">
        <f>"王煜程"</f>
        <v>王煜程</v>
      </c>
      <c r="R53" s="2">
        <f t="shared" si="1"/>
        <v>0</v>
      </c>
    </row>
    <row r="54" spans="1:18" x14ac:dyDescent="0.3">
      <c r="A54" s="2" t="str">
        <f t="shared" si="0"/>
        <v>機械與機電工程學系</v>
      </c>
      <c r="B54" s="2" t="str">
        <f>"00872105"</f>
        <v>00872105</v>
      </c>
      <c r="C54" s="2" t="str">
        <f>"潘依依"</f>
        <v>潘依依</v>
      </c>
      <c r="R54" s="2">
        <f t="shared" si="1"/>
        <v>0</v>
      </c>
    </row>
    <row r="55" spans="1:18" x14ac:dyDescent="0.3">
      <c r="A55" s="2" t="str">
        <f t="shared" si="0"/>
        <v>機械與機電工程學系</v>
      </c>
      <c r="B55" s="2" t="str">
        <f>"00872106"</f>
        <v>00872106</v>
      </c>
      <c r="C55" s="2" t="str">
        <f>"李欣文"</f>
        <v>李欣文</v>
      </c>
      <c r="R55" s="2">
        <f t="shared" si="1"/>
        <v>0</v>
      </c>
    </row>
    <row r="56" spans="1:18" x14ac:dyDescent="0.3">
      <c r="A56" s="2" t="str">
        <f t="shared" si="0"/>
        <v>機械與機電工程學系</v>
      </c>
      <c r="B56" s="2" t="str">
        <f>"00872107"</f>
        <v>00872107</v>
      </c>
      <c r="C56" s="2" t="str">
        <f>"謝騏農"</f>
        <v>謝騏農</v>
      </c>
      <c r="R56" s="2">
        <f t="shared" si="1"/>
        <v>0</v>
      </c>
    </row>
    <row r="57" spans="1:18" x14ac:dyDescent="0.3">
      <c r="A57" s="2" t="str">
        <f t="shared" si="0"/>
        <v>機械與機電工程學系</v>
      </c>
      <c r="B57" s="2" t="str">
        <f>"00872108"</f>
        <v>00872108</v>
      </c>
      <c r="C57" s="2" t="str">
        <f>"曹晉瑋"</f>
        <v>曹晉瑋</v>
      </c>
      <c r="R57" s="2">
        <f t="shared" si="1"/>
        <v>0</v>
      </c>
    </row>
    <row r="58" spans="1:18" x14ac:dyDescent="0.3">
      <c r="A58" s="2" t="str">
        <f t="shared" si="0"/>
        <v>機械與機電工程學系</v>
      </c>
      <c r="B58" s="2" t="str">
        <f>"00872109"</f>
        <v>00872109</v>
      </c>
      <c r="C58" s="2" t="str">
        <f>"余書凡"</f>
        <v>余書凡</v>
      </c>
      <c r="R58" s="2">
        <f t="shared" si="1"/>
        <v>0</v>
      </c>
    </row>
    <row r="59" spans="1:18" x14ac:dyDescent="0.3">
      <c r="A59" s="2" t="str">
        <f t="shared" si="0"/>
        <v>機械與機電工程學系</v>
      </c>
      <c r="B59" s="2" t="str">
        <f>"00872110"</f>
        <v>00872110</v>
      </c>
      <c r="C59" s="2" t="str">
        <f>"張振揚"</f>
        <v>張振揚</v>
      </c>
      <c r="R59" s="2">
        <f t="shared" si="1"/>
        <v>0</v>
      </c>
    </row>
    <row r="60" spans="1:18" x14ac:dyDescent="0.3">
      <c r="A60" s="2" t="str">
        <f t="shared" si="0"/>
        <v>機械與機電工程學系</v>
      </c>
      <c r="B60" s="2" t="str">
        <f>"00872111"</f>
        <v>00872111</v>
      </c>
      <c r="C60" s="2" t="str">
        <f>"黃俊銘"</f>
        <v>黃俊銘</v>
      </c>
      <c r="E60" s="2">
        <v>1</v>
      </c>
      <c r="R60" s="2">
        <f t="shared" si="1"/>
        <v>1</v>
      </c>
    </row>
    <row r="61" spans="1:18" x14ac:dyDescent="0.3">
      <c r="A61" s="2" t="str">
        <f t="shared" si="0"/>
        <v>機械與機電工程學系</v>
      </c>
      <c r="B61" s="2" t="str">
        <f>"00872112"</f>
        <v>00872112</v>
      </c>
      <c r="C61" s="2" t="str">
        <f>"馬如志"</f>
        <v>馬如志</v>
      </c>
      <c r="E61" s="2">
        <v>1</v>
      </c>
      <c r="R61" s="2">
        <f t="shared" si="1"/>
        <v>1</v>
      </c>
    </row>
    <row r="62" spans="1:18" x14ac:dyDescent="0.3">
      <c r="A62" s="2" t="str">
        <f t="shared" si="0"/>
        <v>機械與機電工程學系</v>
      </c>
      <c r="B62" s="2" t="str">
        <f>"00872113"</f>
        <v>00872113</v>
      </c>
      <c r="C62" s="2" t="str">
        <f>"吳哲源"</f>
        <v>吳哲源</v>
      </c>
      <c r="E62" s="2">
        <v>1</v>
      </c>
      <c r="G62" s="2">
        <v>1</v>
      </c>
      <c r="K62" s="2">
        <v>1</v>
      </c>
      <c r="O62" s="2">
        <v>1</v>
      </c>
      <c r="R62" s="2">
        <f t="shared" si="1"/>
        <v>4</v>
      </c>
    </row>
    <row r="63" spans="1:18" x14ac:dyDescent="0.3">
      <c r="A63" s="2" t="str">
        <f t="shared" si="0"/>
        <v>機械與機電工程學系</v>
      </c>
      <c r="B63" s="2" t="str">
        <f>"00872114"</f>
        <v>00872114</v>
      </c>
      <c r="C63" s="2" t="str">
        <f>"洪瑋智"</f>
        <v>洪瑋智</v>
      </c>
      <c r="R63" s="2">
        <f t="shared" si="1"/>
        <v>0</v>
      </c>
    </row>
    <row r="64" spans="1:18" x14ac:dyDescent="0.3">
      <c r="A64" s="2" t="str">
        <f t="shared" si="0"/>
        <v>機械與機電工程學系</v>
      </c>
      <c r="B64" s="2" t="str">
        <f>"00872115"</f>
        <v>00872115</v>
      </c>
      <c r="C64" s="2" t="str">
        <f>"蘇哲暐"</f>
        <v>蘇哲暐</v>
      </c>
      <c r="R64" s="2">
        <f t="shared" si="1"/>
        <v>0</v>
      </c>
    </row>
    <row r="65" spans="1:18" x14ac:dyDescent="0.3">
      <c r="A65" s="2" t="str">
        <f t="shared" si="0"/>
        <v>機械與機電工程學系</v>
      </c>
      <c r="B65" s="2" t="str">
        <f>"00872116"</f>
        <v>00872116</v>
      </c>
      <c r="C65" s="2" t="str">
        <f>"許柏昀"</f>
        <v>許柏昀</v>
      </c>
      <c r="R65" s="2">
        <f t="shared" si="1"/>
        <v>0</v>
      </c>
    </row>
    <row r="66" spans="1:18" x14ac:dyDescent="0.3">
      <c r="A66" s="2" t="str">
        <f t="shared" si="0"/>
        <v>機械與機電工程學系</v>
      </c>
      <c r="B66" s="2" t="str">
        <f>"00872117"</f>
        <v>00872117</v>
      </c>
      <c r="C66" s="2" t="str">
        <f>"馮宇為"</f>
        <v>馮宇為</v>
      </c>
      <c r="R66" s="2">
        <f t="shared" si="1"/>
        <v>0</v>
      </c>
    </row>
    <row r="67" spans="1:18" x14ac:dyDescent="0.3">
      <c r="A67" s="2" t="str">
        <f t="shared" si="0"/>
        <v>機械與機電工程學系</v>
      </c>
      <c r="B67" s="2" t="str">
        <f>"00872118"</f>
        <v>00872118</v>
      </c>
      <c r="C67" s="2" t="str">
        <f>"朱襄羽"</f>
        <v>朱襄羽</v>
      </c>
      <c r="R67" s="2">
        <f t="shared" si="1"/>
        <v>0</v>
      </c>
    </row>
    <row r="68" spans="1:18" x14ac:dyDescent="0.3">
      <c r="A68" s="2" t="str">
        <f t="shared" ref="A68:A97" si="2">"機械與機電工程學系"</f>
        <v>機械與機電工程學系</v>
      </c>
      <c r="B68" s="2" t="str">
        <f>"00872119"</f>
        <v>00872119</v>
      </c>
      <c r="C68" s="2" t="str">
        <f>"吳承軍"</f>
        <v>吳承軍</v>
      </c>
      <c r="R68" s="2">
        <f t="shared" ref="R68:R97" si="3">SUM(D68:Q68)</f>
        <v>0</v>
      </c>
    </row>
    <row r="69" spans="1:18" x14ac:dyDescent="0.3">
      <c r="A69" s="2" t="str">
        <f t="shared" si="2"/>
        <v>機械與機電工程學系</v>
      </c>
      <c r="B69" s="2" t="str">
        <f>"00872120"</f>
        <v>00872120</v>
      </c>
      <c r="C69" s="2" t="str">
        <f>"黃立揚"</f>
        <v>黃立揚</v>
      </c>
      <c r="R69" s="2">
        <f t="shared" si="3"/>
        <v>0</v>
      </c>
    </row>
    <row r="70" spans="1:18" x14ac:dyDescent="0.3">
      <c r="A70" s="2" t="str">
        <f t="shared" si="2"/>
        <v>機械與機電工程學系</v>
      </c>
      <c r="B70" s="2" t="str">
        <f>"00872121"</f>
        <v>00872121</v>
      </c>
      <c r="C70" s="2" t="str">
        <f>"戴瑞志"</f>
        <v>戴瑞志</v>
      </c>
      <c r="R70" s="2">
        <f t="shared" si="3"/>
        <v>0</v>
      </c>
    </row>
    <row r="71" spans="1:18" x14ac:dyDescent="0.3">
      <c r="A71" s="2" t="str">
        <f t="shared" si="2"/>
        <v>機械與機電工程學系</v>
      </c>
      <c r="B71" s="2" t="str">
        <f>"00872122"</f>
        <v>00872122</v>
      </c>
      <c r="C71" s="2" t="str">
        <f>"楊承翰"</f>
        <v>楊承翰</v>
      </c>
      <c r="R71" s="2">
        <f t="shared" si="3"/>
        <v>0</v>
      </c>
    </row>
    <row r="72" spans="1:18" x14ac:dyDescent="0.3">
      <c r="A72" s="2" t="str">
        <f t="shared" si="2"/>
        <v>機械與機電工程學系</v>
      </c>
      <c r="B72" s="2" t="str">
        <f>"00872123"</f>
        <v>00872123</v>
      </c>
      <c r="C72" s="2" t="str">
        <f>"黃裕盛"</f>
        <v>黃裕盛</v>
      </c>
      <c r="R72" s="2">
        <f t="shared" si="3"/>
        <v>0</v>
      </c>
    </row>
    <row r="73" spans="1:18" x14ac:dyDescent="0.3">
      <c r="A73" s="2" t="str">
        <f t="shared" si="2"/>
        <v>機械與機電工程學系</v>
      </c>
      <c r="B73" s="2" t="str">
        <f>"00872124"</f>
        <v>00872124</v>
      </c>
      <c r="C73" s="2" t="str">
        <f>"張宇軒"</f>
        <v>張宇軒</v>
      </c>
      <c r="R73" s="2">
        <f t="shared" si="3"/>
        <v>0</v>
      </c>
    </row>
    <row r="74" spans="1:18" x14ac:dyDescent="0.3">
      <c r="A74" s="2" t="str">
        <f t="shared" si="2"/>
        <v>機械與機電工程學系</v>
      </c>
      <c r="B74" s="2" t="str">
        <f>"00872125"</f>
        <v>00872125</v>
      </c>
      <c r="C74" s="2" t="str">
        <f>"李信毅"</f>
        <v>李信毅</v>
      </c>
      <c r="R74" s="2">
        <f t="shared" si="3"/>
        <v>0</v>
      </c>
    </row>
    <row r="75" spans="1:18" x14ac:dyDescent="0.3">
      <c r="A75" s="2" t="str">
        <f t="shared" si="2"/>
        <v>機械與機電工程學系</v>
      </c>
      <c r="B75" s="2" t="str">
        <f>"00872126"</f>
        <v>00872126</v>
      </c>
      <c r="C75" s="2" t="str">
        <f>"周晉"</f>
        <v>周晉</v>
      </c>
      <c r="R75" s="2">
        <f t="shared" si="3"/>
        <v>0</v>
      </c>
    </row>
    <row r="76" spans="1:18" x14ac:dyDescent="0.3">
      <c r="A76" s="2" t="str">
        <f t="shared" si="2"/>
        <v>機械與機電工程學系</v>
      </c>
      <c r="B76" s="2" t="str">
        <f>"00872127"</f>
        <v>00872127</v>
      </c>
      <c r="C76" s="2" t="str">
        <f>"王峰彬"</f>
        <v>王峰彬</v>
      </c>
      <c r="R76" s="2">
        <f t="shared" si="3"/>
        <v>0</v>
      </c>
    </row>
    <row r="77" spans="1:18" x14ac:dyDescent="0.3">
      <c r="A77" s="2" t="str">
        <f t="shared" si="2"/>
        <v>機械與機電工程學系</v>
      </c>
      <c r="B77" s="2" t="str">
        <f>"00872128"</f>
        <v>00872128</v>
      </c>
      <c r="C77" s="2" t="str">
        <f>"劉冠毅"</f>
        <v>劉冠毅</v>
      </c>
      <c r="R77" s="2">
        <f t="shared" si="3"/>
        <v>0</v>
      </c>
    </row>
    <row r="78" spans="1:18" x14ac:dyDescent="0.3">
      <c r="A78" s="2" t="str">
        <f t="shared" si="2"/>
        <v>機械與機電工程學系</v>
      </c>
      <c r="B78" s="2" t="str">
        <f>"00872129"</f>
        <v>00872129</v>
      </c>
      <c r="C78" s="2" t="str">
        <f>"洪韋傑"</f>
        <v>洪韋傑</v>
      </c>
      <c r="R78" s="2">
        <f t="shared" si="3"/>
        <v>0</v>
      </c>
    </row>
    <row r="79" spans="1:18" x14ac:dyDescent="0.3">
      <c r="A79" s="2" t="str">
        <f t="shared" si="2"/>
        <v>機械與機電工程學系</v>
      </c>
      <c r="B79" s="2" t="str">
        <f>"00872130"</f>
        <v>00872130</v>
      </c>
      <c r="C79" s="2" t="str">
        <f>"莊智吏"</f>
        <v>莊智吏</v>
      </c>
      <c r="R79" s="2">
        <f t="shared" si="3"/>
        <v>0</v>
      </c>
    </row>
    <row r="80" spans="1:18" x14ac:dyDescent="0.3">
      <c r="A80" s="2" t="str">
        <f t="shared" si="2"/>
        <v>機械與機電工程學系</v>
      </c>
      <c r="B80" s="2" t="str">
        <f>"00872131"</f>
        <v>00872131</v>
      </c>
      <c r="C80" s="2" t="str">
        <f>"許學華"</f>
        <v>許學華</v>
      </c>
      <c r="R80" s="2">
        <f t="shared" si="3"/>
        <v>0</v>
      </c>
    </row>
    <row r="81" spans="1:18" x14ac:dyDescent="0.3">
      <c r="A81" s="2" t="str">
        <f t="shared" si="2"/>
        <v>機械與機電工程學系</v>
      </c>
      <c r="B81" s="2" t="str">
        <f>"00872132"</f>
        <v>00872132</v>
      </c>
      <c r="C81" s="2" t="str">
        <f>"王怡瑄"</f>
        <v>王怡瑄</v>
      </c>
      <c r="R81" s="2">
        <f t="shared" si="3"/>
        <v>0</v>
      </c>
    </row>
    <row r="82" spans="1:18" x14ac:dyDescent="0.3">
      <c r="A82" s="2" t="str">
        <f t="shared" si="2"/>
        <v>機械與機電工程學系</v>
      </c>
      <c r="B82" s="2" t="str">
        <f>"00872133"</f>
        <v>00872133</v>
      </c>
      <c r="C82" s="2" t="str">
        <f>"陳冠宇"</f>
        <v>陳冠宇</v>
      </c>
      <c r="R82" s="2">
        <f t="shared" si="3"/>
        <v>0</v>
      </c>
    </row>
    <row r="83" spans="1:18" x14ac:dyDescent="0.3">
      <c r="A83" s="2" t="str">
        <f t="shared" si="2"/>
        <v>機械與機電工程學系</v>
      </c>
      <c r="B83" s="2" t="str">
        <f>"00872134"</f>
        <v>00872134</v>
      </c>
      <c r="C83" s="2" t="str">
        <f>"袁倫儒"</f>
        <v>袁倫儒</v>
      </c>
      <c r="R83" s="2">
        <f t="shared" si="3"/>
        <v>0</v>
      </c>
    </row>
    <row r="84" spans="1:18" x14ac:dyDescent="0.3">
      <c r="A84" s="2" t="str">
        <f t="shared" si="2"/>
        <v>機械與機電工程學系</v>
      </c>
      <c r="B84" s="2" t="str">
        <f>"00872135"</f>
        <v>00872135</v>
      </c>
      <c r="C84" s="2" t="str">
        <f>"蔡博璿"</f>
        <v>蔡博璿</v>
      </c>
      <c r="J84" s="2">
        <v>1</v>
      </c>
      <c r="R84" s="2">
        <f t="shared" si="3"/>
        <v>1</v>
      </c>
    </row>
    <row r="85" spans="1:18" x14ac:dyDescent="0.3">
      <c r="A85" s="2" t="str">
        <f t="shared" si="2"/>
        <v>機械與機電工程學系</v>
      </c>
      <c r="B85" s="2" t="str">
        <f>"00872136"</f>
        <v>00872136</v>
      </c>
      <c r="C85" s="2" t="str">
        <f>"林暐諺"</f>
        <v>林暐諺</v>
      </c>
      <c r="R85" s="2">
        <f t="shared" si="3"/>
        <v>0</v>
      </c>
    </row>
    <row r="86" spans="1:18" x14ac:dyDescent="0.3">
      <c r="A86" s="2" t="str">
        <f t="shared" si="2"/>
        <v>機械與機電工程學系</v>
      </c>
      <c r="B86" s="2" t="str">
        <f>"00872137"</f>
        <v>00872137</v>
      </c>
      <c r="C86" s="2" t="str">
        <f>"黃思綺"</f>
        <v>黃思綺</v>
      </c>
      <c r="R86" s="2">
        <f t="shared" si="3"/>
        <v>0</v>
      </c>
    </row>
    <row r="87" spans="1:18" x14ac:dyDescent="0.3">
      <c r="A87" s="2" t="str">
        <f t="shared" si="2"/>
        <v>機械與機電工程學系</v>
      </c>
      <c r="B87" s="2" t="str">
        <f>"00872138"</f>
        <v>00872138</v>
      </c>
      <c r="C87" s="2" t="str">
        <f>"莊永祥"</f>
        <v>莊永祥</v>
      </c>
      <c r="R87" s="2">
        <f t="shared" si="3"/>
        <v>0</v>
      </c>
    </row>
    <row r="88" spans="1:18" x14ac:dyDescent="0.3">
      <c r="A88" s="2" t="str">
        <f t="shared" si="2"/>
        <v>機械與機電工程學系</v>
      </c>
      <c r="B88" s="2" t="str">
        <f>"00872139"</f>
        <v>00872139</v>
      </c>
      <c r="C88" s="2" t="str">
        <f>"游恩豪"</f>
        <v>游恩豪</v>
      </c>
      <c r="R88" s="2">
        <f t="shared" si="3"/>
        <v>0</v>
      </c>
    </row>
    <row r="89" spans="1:18" x14ac:dyDescent="0.3">
      <c r="A89" s="2" t="str">
        <f t="shared" si="2"/>
        <v>機械與機電工程學系</v>
      </c>
      <c r="B89" s="2" t="str">
        <f>"00872140"</f>
        <v>00872140</v>
      </c>
      <c r="C89" s="2" t="str">
        <f>"黃?慈"</f>
        <v>黃?慈</v>
      </c>
      <c r="R89" s="2">
        <f t="shared" si="3"/>
        <v>0</v>
      </c>
    </row>
    <row r="90" spans="1:18" x14ac:dyDescent="0.3">
      <c r="A90" s="2" t="str">
        <f t="shared" si="2"/>
        <v>機械與機電工程學系</v>
      </c>
      <c r="B90" s="2" t="str">
        <f>"00872141"</f>
        <v>00872141</v>
      </c>
      <c r="C90" s="2" t="str">
        <f>"阮子瑄"</f>
        <v>阮子瑄</v>
      </c>
      <c r="R90" s="2">
        <f t="shared" si="3"/>
        <v>0</v>
      </c>
    </row>
    <row r="91" spans="1:18" x14ac:dyDescent="0.3">
      <c r="A91" s="2" t="str">
        <f t="shared" si="2"/>
        <v>機械與機電工程學系</v>
      </c>
      <c r="B91" s="2" t="str">
        <f>"00872142"</f>
        <v>00872142</v>
      </c>
      <c r="C91" s="2" t="str">
        <f>"歐泓槿"</f>
        <v>歐泓槿</v>
      </c>
      <c r="R91" s="2">
        <f t="shared" si="3"/>
        <v>0</v>
      </c>
    </row>
    <row r="92" spans="1:18" x14ac:dyDescent="0.3">
      <c r="A92" s="2" t="str">
        <f t="shared" si="2"/>
        <v>機械與機電工程學系</v>
      </c>
      <c r="B92" s="2" t="str">
        <f>"00872143"</f>
        <v>00872143</v>
      </c>
      <c r="C92" s="2" t="str">
        <f>"鍾庭侑"</f>
        <v>鍾庭侑</v>
      </c>
      <c r="R92" s="2">
        <f t="shared" si="3"/>
        <v>0</v>
      </c>
    </row>
    <row r="93" spans="1:18" x14ac:dyDescent="0.3">
      <c r="A93" s="2" t="str">
        <f t="shared" si="2"/>
        <v>機械與機電工程學系</v>
      </c>
      <c r="B93" s="2" t="str">
        <f>"00872144"</f>
        <v>00872144</v>
      </c>
      <c r="C93" s="2" t="str">
        <f>"簡亞倫"</f>
        <v>簡亞倫</v>
      </c>
      <c r="R93" s="2">
        <f t="shared" si="3"/>
        <v>0</v>
      </c>
    </row>
    <row r="94" spans="1:18" x14ac:dyDescent="0.3">
      <c r="A94" s="2" t="str">
        <f t="shared" si="2"/>
        <v>機械與機電工程學系</v>
      </c>
      <c r="B94" s="2" t="str">
        <f>"00872145"</f>
        <v>00872145</v>
      </c>
      <c r="C94" s="2" t="str">
        <f>"鄭棋文"</f>
        <v>鄭棋文</v>
      </c>
      <c r="R94" s="2">
        <f t="shared" si="3"/>
        <v>0</v>
      </c>
    </row>
    <row r="95" spans="1:18" x14ac:dyDescent="0.3">
      <c r="A95" s="2" t="s">
        <v>0</v>
      </c>
      <c r="B95" s="2" t="s">
        <v>1</v>
      </c>
      <c r="C95" s="2" t="s">
        <v>2</v>
      </c>
      <c r="D95" s="3" t="s">
        <v>18</v>
      </c>
      <c r="E95" s="4" t="s">
        <v>19</v>
      </c>
      <c r="F95" s="4" t="s">
        <v>31</v>
      </c>
      <c r="G95" s="4" t="s">
        <v>20</v>
      </c>
      <c r="H95" s="4" t="s">
        <v>21</v>
      </c>
      <c r="I95" s="4" t="s">
        <v>22</v>
      </c>
      <c r="J95" s="4" t="s">
        <v>23</v>
      </c>
      <c r="K95" s="4" t="s">
        <v>24</v>
      </c>
      <c r="L95" s="4" t="s">
        <v>25</v>
      </c>
      <c r="M95" s="4" t="s">
        <v>26</v>
      </c>
      <c r="N95" s="4" t="s">
        <v>27</v>
      </c>
      <c r="O95" s="4" t="s">
        <v>28</v>
      </c>
      <c r="P95" s="4" t="s">
        <v>29</v>
      </c>
      <c r="Q95" s="4" t="s">
        <v>30</v>
      </c>
      <c r="R95" s="1" t="s">
        <v>3</v>
      </c>
    </row>
    <row r="96" spans="1:18" x14ac:dyDescent="0.3">
      <c r="A96" s="2" t="str">
        <f t="shared" si="2"/>
        <v>機械與機電工程學系</v>
      </c>
      <c r="B96" s="2" t="str">
        <f>"00872146"</f>
        <v>00872146</v>
      </c>
      <c r="C96" s="2" t="str">
        <f>"劉友皓"</f>
        <v>劉友皓</v>
      </c>
      <c r="I96" s="2">
        <v>1</v>
      </c>
      <c r="M96" s="2">
        <v>1</v>
      </c>
      <c r="Q96" s="2">
        <v>1</v>
      </c>
      <c r="R96" s="2">
        <f t="shared" si="3"/>
        <v>3</v>
      </c>
    </row>
    <row r="97" spans="1:18" x14ac:dyDescent="0.3">
      <c r="A97" s="2" t="str">
        <f t="shared" si="2"/>
        <v>機械與機電工程學系</v>
      </c>
      <c r="B97" s="2" t="str">
        <f>"00872147"</f>
        <v>00872147</v>
      </c>
      <c r="C97" s="2" t="str">
        <f>"李亦鳴"</f>
        <v>李亦鳴</v>
      </c>
      <c r="I97" s="2">
        <v>1</v>
      </c>
      <c r="M97" s="2">
        <v>1</v>
      </c>
      <c r="Q97" s="2">
        <v>1</v>
      </c>
      <c r="R97" s="2">
        <f t="shared" si="3"/>
        <v>3</v>
      </c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&amp;C1081化學補強教學出席率登記本</oddHeader>
    <oddFooter>&amp;A&amp;R第 &amp;P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95"/>
  <sheetViews>
    <sheetView view="pageLayout" topLeftCell="A10" zoomScaleNormal="100" workbookViewId="0">
      <selection activeCell="A17" sqref="A17:R17"/>
    </sheetView>
  </sheetViews>
  <sheetFormatPr defaultColWidth="8.77734375" defaultRowHeight="16.2" x14ac:dyDescent="0.3"/>
  <cols>
    <col min="1" max="1" width="6.109375" style="2" customWidth="1"/>
    <col min="2" max="2" width="8.77734375" style="2"/>
    <col min="3" max="3" width="8" style="2" customWidth="1"/>
    <col min="4" max="18" width="4.6640625" style="2" customWidth="1"/>
    <col min="19" max="16384" width="8.77734375" style="2"/>
  </cols>
  <sheetData>
    <row r="2" spans="1:18" x14ac:dyDescent="0.3">
      <c r="A2" s="2" t="s">
        <v>0</v>
      </c>
      <c r="B2" s="2" t="s">
        <v>1</v>
      </c>
      <c r="C2" s="2" t="s">
        <v>2</v>
      </c>
      <c r="D2" s="3" t="s">
        <v>18</v>
      </c>
      <c r="E2" s="4" t="s">
        <v>19</v>
      </c>
      <c r="F2" s="4" t="s">
        <v>31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 t="s">
        <v>27</v>
      </c>
      <c r="O2" s="4" t="s">
        <v>28</v>
      </c>
      <c r="P2" s="4" t="s">
        <v>29</v>
      </c>
      <c r="Q2" s="4" t="s">
        <v>30</v>
      </c>
      <c r="R2" s="1" t="s">
        <v>3</v>
      </c>
    </row>
    <row r="3" spans="1:18" x14ac:dyDescent="0.3">
      <c r="A3" s="2" t="str">
        <f t="shared" ref="A3:A31" si="0">"海洋工程科技學士學位學程"</f>
        <v>海洋工程科技學士學位學程</v>
      </c>
      <c r="B3" s="2" t="str">
        <f>"00856001"</f>
        <v>00856001</v>
      </c>
      <c r="C3" s="2" t="str">
        <f>"尤峻銘"</f>
        <v>尤峻銘</v>
      </c>
      <c r="R3" s="2">
        <f>SUM(D3:Q3)</f>
        <v>0</v>
      </c>
    </row>
    <row r="4" spans="1:18" x14ac:dyDescent="0.3">
      <c r="A4" s="2" t="str">
        <f t="shared" si="0"/>
        <v>海洋工程科技學士學位學程</v>
      </c>
      <c r="B4" s="2" t="str">
        <f>"00856002"</f>
        <v>00856002</v>
      </c>
      <c r="C4" s="2" t="str">
        <f>"張詒茹"</f>
        <v>張詒茹</v>
      </c>
      <c r="R4" s="2">
        <f t="shared" ref="R4:R63" si="1">SUM(D4:Q4)</f>
        <v>0</v>
      </c>
    </row>
    <row r="5" spans="1:18" x14ac:dyDescent="0.3">
      <c r="A5" s="2" t="str">
        <f t="shared" si="0"/>
        <v>海洋工程科技學士學位學程</v>
      </c>
      <c r="B5" s="2" t="str">
        <f>"00856003"</f>
        <v>00856003</v>
      </c>
      <c r="C5" s="2" t="str">
        <f>"盧昇宏"</f>
        <v>盧昇宏</v>
      </c>
      <c r="R5" s="2">
        <f t="shared" si="1"/>
        <v>0</v>
      </c>
    </row>
    <row r="6" spans="1:18" x14ac:dyDescent="0.3">
      <c r="A6" s="2" t="str">
        <f t="shared" si="0"/>
        <v>海洋工程科技學士學位學程</v>
      </c>
      <c r="B6" s="2" t="str">
        <f>"00856004"</f>
        <v>00856004</v>
      </c>
      <c r="C6" s="2" t="str">
        <f>"黃暐翔"</f>
        <v>黃暐翔</v>
      </c>
      <c r="R6" s="2">
        <f t="shared" si="1"/>
        <v>0</v>
      </c>
    </row>
    <row r="7" spans="1:18" x14ac:dyDescent="0.3">
      <c r="A7" s="2" t="str">
        <f t="shared" si="0"/>
        <v>海洋工程科技學士學位學程</v>
      </c>
      <c r="B7" s="2" t="str">
        <f>"00856005"</f>
        <v>00856005</v>
      </c>
      <c r="C7" s="2" t="str">
        <f>"徐羽彤"</f>
        <v>徐羽彤</v>
      </c>
      <c r="R7" s="2">
        <f t="shared" si="1"/>
        <v>0</v>
      </c>
    </row>
    <row r="8" spans="1:18" x14ac:dyDescent="0.3">
      <c r="A8" s="2" t="str">
        <f t="shared" si="0"/>
        <v>海洋工程科技學士學位學程</v>
      </c>
      <c r="B8" s="2" t="str">
        <f>"00856006"</f>
        <v>00856006</v>
      </c>
      <c r="C8" s="2" t="str">
        <f>"萬川揚"</f>
        <v>萬川揚</v>
      </c>
      <c r="R8" s="2">
        <f t="shared" si="1"/>
        <v>0</v>
      </c>
    </row>
    <row r="9" spans="1:18" x14ac:dyDescent="0.3">
      <c r="A9" s="2" t="str">
        <f t="shared" si="0"/>
        <v>海洋工程科技學士學位學程</v>
      </c>
      <c r="B9" s="2" t="str">
        <f>"00856007"</f>
        <v>00856007</v>
      </c>
      <c r="C9" s="2" t="str">
        <f>"林玠甫"</f>
        <v>林玠甫</v>
      </c>
      <c r="R9" s="2">
        <f t="shared" si="1"/>
        <v>0</v>
      </c>
    </row>
    <row r="10" spans="1:18" x14ac:dyDescent="0.3">
      <c r="A10" s="2" t="str">
        <f t="shared" si="0"/>
        <v>海洋工程科技學士學位學程</v>
      </c>
      <c r="B10" s="2" t="str">
        <f>"00856008"</f>
        <v>00856008</v>
      </c>
      <c r="C10" s="2" t="str">
        <f>"余上驊"</f>
        <v>余上驊</v>
      </c>
      <c r="R10" s="2">
        <f t="shared" si="1"/>
        <v>0</v>
      </c>
    </row>
    <row r="11" spans="1:18" x14ac:dyDescent="0.3">
      <c r="A11" s="2" t="str">
        <f t="shared" si="0"/>
        <v>海洋工程科技學士學位學程</v>
      </c>
      <c r="B11" s="2" t="str">
        <f>"00856009"</f>
        <v>00856009</v>
      </c>
      <c r="C11" s="2" t="str">
        <f>"廖宜皇"</f>
        <v>廖宜皇</v>
      </c>
      <c r="R11" s="2">
        <f t="shared" si="1"/>
        <v>0</v>
      </c>
    </row>
    <row r="12" spans="1:18" x14ac:dyDescent="0.3">
      <c r="A12" s="2" t="str">
        <f t="shared" si="0"/>
        <v>海洋工程科技學士學位學程</v>
      </c>
      <c r="B12" s="2" t="str">
        <f>"00856010"</f>
        <v>00856010</v>
      </c>
      <c r="C12" s="2" t="str">
        <f>"周晉宇"</f>
        <v>周晉宇</v>
      </c>
      <c r="R12" s="2">
        <f t="shared" si="1"/>
        <v>0</v>
      </c>
    </row>
    <row r="13" spans="1:18" x14ac:dyDescent="0.3">
      <c r="A13" s="2" t="str">
        <f t="shared" si="0"/>
        <v>海洋工程科技學士學位學程</v>
      </c>
      <c r="B13" s="2" t="str">
        <f>"00856011"</f>
        <v>00856011</v>
      </c>
      <c r="C13" s="2" t="str">
        <f>"郁言"</f>
        <v>郁言</v>
      </c>
      <c r="R13" s="2">
        <f t="shared" si="1"/>
        <v>0</v>
      </c>
    </row>
    <row r="14" spans="1:18" x14ac:dyDescent="0.3">
      <c r="A14" s="2" t="str">
        <f t="shared" si="0"/>
        <v>海洋工程科技學士學位學程</v>
      </c>
      <c r="B14" s="2" t="str">
        <f>"00856012"</f>
        <v>00856012</v>
      </c>
      <c r="C14" s="2" t="str">
        <f>"?品翰"</f>
        <v>?品翰</v>
      </c>
      <c r="R14" s="2">
        <f t="shared" si="1"/>
        <v>0</v>
      </c>
    </row>
    <row r="15" spans="1:18" x14ac:dyDescent="0.3">
      <c r="A15" s="2" t="str">
        <f t="shared" si="0"/>
        <v>海洋工程科技學士學位學程</v>
      </c>
      <c r="B15" s="2" t="str">
        <f>"00856013"</f>
        <v>00856013</v>
      </c>
      <c r="C15" s="2" t="str">
        <f>"高子皓"</f>
        <v>高子皓</v>
      </c>
      <c r="R15" s="2">
        <f t="shared" si="1"/>
        <v>0</v>
      </c>
    </row>
    <row r="16" spans="1:18" x14ac:dyDescent="0.3">
      <c r="A16" s="2" t="str">
        <f t="shared" si="0"/>
        <v>海洋工程科技學士學位學程</v>
      </c>
      <c r="B16" s="2" t="str">
        <f>"00856014"</f>
        <v>00856014</v>
      </c>
      <c r="C16" s="2" t="str">
        <f>"陳湘宜"</f>
        <v>陳湘宜</v>
      </c>
      <c r="R16" s="2">
        <f t="shared" si="1"/>
        <v>0</v>
      </c>
    </row>
    <row r="17" spans="1:18" x14ac:dyDescent="0.3">
      <c r="A17" s="2" t="str">
        <f t="shared" si="0"/>
        <v>海洋工程科技學士學位學程</v>
      </c>
      <c r="B17" s="2" t="str">
        <f>"00856015"</f>
        <v>00856015</v>
      </c>
      <c r="C17" s="2" t="str">
        <f>"陳詠淇"</f>
        <v>陳詠淇</v>
      </c>
      <c r="Q17" s="2">
        <v>1</v>
      </c>
      <c r="R17" s="2">
        <f t="shared" si="1"/>
        <v>1</v>
      </c>
    </row>
    <row r="18" spans="1:18" x14ac:dyDescent="0.3">
      <c r="A18" s="2" t="str">
        <f t="shared" si="0"/>
        <v>海洋工程科技學士學位學程</v>
      </c>
      <c r="B18" s="2" t="str">
        <f>"00856016"</f>
        <v>00856016</v>
      </c>
      <c r="C18" s="2" t="str">
        <f>"尤冠?"</f>
        <v>尤冠?</v>
      </c>
      <c r="R18" s="2">
        <f t="shared" si="1"/>
        <v>0</v>
      </c>
    </row>
    <row r="19" spans="1:18" x14ac:dyDescent="0.3">
      <c r="A19" s="2" t="str">
        <f t="shared" si="0"/>
        <v>海洋工程科技學士學位學程</v>
      </c>
      <c r="B19" s="2" t="str">
        <f>"00856017"</f>
        <v>00856017</v>
      </c>
      <c r="C19" s="2" t="str">
        <f>"劉家安"</f>
        <v>劉家安</v>
      </c>
      <c r="R19" s="2">
        <f t="shared" si="1"/>
        <v>0</v>
      </c>
    </row>
    <row r="20" spans="1:18" x14ac:dyDescent="0.3">
      <c r="A20" s="2" t="str">
        <f t="shared" si="0"/>
        <v>海洋工程科技學士學位學程</v>
      </c>
      <c r="B20" s="2" t="str">
        <f>"00856019"</f>
        <v>00856019</v>
      </c>
      <c r="C20" s="2" t="str">
        <f>"徐健豪"</f>
        <v>徐健豪</v>
      </c>
      <c r="R20" s="2">
        <f t="shared" si="1"/>
        <v>0</v>
      </c>
    </row>
    <row r="21" spans="1:18" x14ac:dyDescent="0.3">
      <c r="A21" s="2" t="str">
        <f t="shared" si="0"/>
        <v>海洋工程科技學士學位學程</v>
      </c>
      <c r="B21" s="2" t="str">
        <f>"00856020"</f>
        <v>00856020</v>
      </c>
      <c r="C21" s="2" t="str">
        <f>"陳川霖"</f>
        <v>陳川霖</v>
      </c>
      <c r="R21" s="2">
        <f t="shared" si="1"/>
        <v>0</v>
      </c>
    </row>
    <row r="22" spans="1:18" x14ac:dyDescent="0.3">
      <c r="A22" s="2" t="str">
        <f t="shared" si="0"/>
        <v>海洋工程科技學士學位學程</v>
      </c>
      <c r="B22" s="2" t="str">
        <f>"00856021"</f>
        <v>00856021</v>
      </c>
      <c r="C22" s="2" t="str">
        <f>"梁竣翔"</f>
        <v>梁竣翔</v>
      </c>
      <c r="R22" s="2">
        <f t="shared" si="1"/>
        <v>0</v>
      </c>
    </row>
    <row r="23" spans="1:18" x14ac:dyDescent="0.3">
      <c r="A23" s="2" t="str">
        <f t="shared" si="0"/>
        <v>海洋工程科技學士學位學程</v>
      </c>
      <c r="B23" s="2" t="str">
        <f>"00856022"</f>
        <v>00856022</v>
      </c>
      <c r="C23" s="2" t="str">
        <f>"薛銘漢"</f>
        <v>薛銘漢</v>
      </c>
      <c r="R23" s="2">
        <f t="shared" si="1"/>
        <v>0</v>
      </c>
    </row>
    <row r="24" spans="1:18" x14ac:dyDescent="0.3">
      <c r="A24" s="2" t="str">
        <f t="shared" si="0"/>
        <v>海洋工程科技學士學位學程</v>
      </c>
      <c r="B24" s="2" t="str">
        <f>"00856023"</f>
        <v>00856023</v>
      </c>
      <c r="C24" s="2" t="str">
        <f>"王釩菉"</f>
        <v>王釩菉</v>
      </c>
      <c r="R24" s="2">
        <f t="shared" si="1"/>
        <v>0</v>
      </c>
    </row>
    <row r="25" spans="1:18" x14ac:dyDescent="0.3">
      <c r="A25" s="2" t="str">
        <f t="shared" si="0"/>
        <v>海洋工程科技學士學位學程</v>
      </c>
      <c r="B25" s="2" t="str">
        <f>"00856024"</f>
        <v>00856024</v>
      </c>
      <c r="C25" s="2" t="str">
        <f>"張甄祐"</f>
        <v>張甄祐</v>
      </c>
      <c r="R25" s="2">
        <f t="shared" si="1"/>
        <v>0</v>
      </c>
    </row>
    <row r="26" spans="1:18" x14ac:dyDescent="0.3">
      <c r="A26" s="2" t="str">
        <f t="shared" si="0"/>
        <v>海洋工程科技學士學位學程</v>
      </c>
      <c r="B26" s="2" t="str">
        <f>"00856025"</f>
        <v>00856025</v>
      </c>
      <c r="C26" s="2" t="str">
        <f>"干子閔"</f>
        <v>干子閔</v>
      </c>
      <c r="R26" s="2">
        <f t="shared" si="1"/>
        <v>0</v>
      </c>
    </row>
    <row r="27" spans="1:18" x14ac:dyDescent="0.3">
      <c r="A27" s="2" t="str">
        <f t="shared" si="0"/>
        <v>海洋工程科技學士學位學程</v>
      </c>
      <c r="B27" s="2" t="str">
        <f>"00856026"</f>
        <v>00856026</v>
      </c>
      <c r="C27" s="2" t="str">
        <f>"趙宣皓"</f>
        <v>趙宣皓</v>
      </c>
      <c r="R27" s="2">
        <f t="shared" si="1"/>
        <v>0</v>
      </c>
    </row>
    <row r="28" spans="1:18" x14ac:dyDescent="0.3">
      <c r="A28" s="2" t="str">
        <f t="shared" si="0"/>
        <v>海洋工程科技學士學位學程</v>
      </c>
      <c r="B28" s="2" t="str">
        <f>"00856027"</f>
        <v>00856027</v>
      </c>
      <c r="C28" s="2" t="str">
        <f>"崔家睿"</f>
        <v>崔家睿</v>
      </c>
      <c r="R28" s="2">
        <f t="shared" si="1"/>
        <v>0</v>
      </c>
    </row>
    <row r="29" spans="1:18" x14ac:dyDescent="0.3">
      <c r="A29" s="2" t="str">
        <f t="shared" si="0"/>
        <v>海洋工程科技學士學位學程</v>
      </c>
      <c r="B29" s="2" t="str">
        <f>"00856028"</f>
        <v>00856028</v>
      </c>
      <c r="C29" s="2" t="str">
        <f>"鄭博文"</f>
        <v>鄭博文</v>
      </c>
      <c r="R29" s="2">
        <f t="shared" si="1"/>
        <v>0</v>
      </c>
    </row>
    <row r="30" spans="1:18" x14ac:dyDescent="0.3">
      <c r="A30" s="2" t="str">
        <f t="shared" si="0"/>
        <v>海洋工程科技學士學位學程</v>
      </c>
      <c r="B30" s="2" t="str">
        <f>"00856030"</f>
        <v>00856030</v>
      </c>
      <c r="C30" s="2" t="str">
        <f>"蔡文潼"</f>
        <v>蔡文潼</v>
      </c>
      <c r="R30" s="2">
        <f t="shared" si="1"/>
        <v>0</v>
      </c>
    </row>
    <row r="31" spans="1:18" x14ac:dyDescent="0.3">
      <c r="A31" s="2" t="str">
        <f t="shared" si="0"/>
        <v>海洋工程科技學士學位學程</v>
      </c>
      <c r="B31" s="2" t="str">
        <f>"00856031"</f>
        <v>00856031</v>
      </c>
      <c r="C31" s="2" t="str">
        <f>"李紹群"</f>
        <v>李紹群</v>
      </c>
      <c r="R31" s="2">
        <f t="shared" si="1"/>
        <v>0</v>
      </c>
    </row>
    <row r="32" spans="1:18" x14ac:dyDescent="0.3">
      <c r="A32" s="2" t="str">
        <f t="shared" ref="A32:A62" si="2">"光電與材料科技學系"</f>
        <v>光電與材料科技學系</v>
      </c>
      <c r="B32" s="2" t="str">
        <f>"00889001"</f>
        <v>00889001</v>
      </c>
      <c r="C32" s="2" t="str">
        <f>"藍宇婕"</f>
        <v>藍宇婕</v>
      </c>
      <c r="R32" s="2">
        <f t="shared" si="1"/>
        <v>0</v>
      </c>
    </row>
    <row r="33" spans="1:18" x14ac:dyDescent="0.3">
      <c r="A33" s="2" t="str">
        <f t="shared" si="2"/>
        <v>光電與材料科技學系</v>
      </c>
      <c r="B33" s="2" t="str">
        <f>"00889002"</f>
        <v>00889002</v>
      </c>
      <c r="C33" s="2" t="str">
        <f>"呂哲?"</f>
        <v>呂哲?</v>
      </c>
      <c r="G33" s="2">
        <v>1</v>
      </c>
      <c r="O33" s="2">
        <v>1</v>
      </c>
      <c r="R33" s="2">
        <f t="shared" si="1"/>
        <v>2</v>
      </c>
    </row>
    <row r="34" spans="1:18" x14ac:dyDescent="0.3">
      <c r="A34" s="2" t="str">
        <f t="shared" si="2"/>
        <v>光電與材料科技學系</v>
      </c>
      <c r="B34" s="2" t="str">
        <f>"00889003"</f>
        <v>00889003</v>
      </c>
      <c r="C34" s="2" t="str">
        <f>"王予哲"</f>
        <v>王予哲</v>
      </c>
      <c r="R34" s="2">
        <f t="shared" si="1"/>
        <v>0</v>
      </c>
    </row>
    <row r="35" spans="1:18" x14ac:dyDescent="0.3">
      <c r="A35" s="2" t="str">
        <f t="shared" si="2"/>
        <v>光電與材料科技學系</v>
      </c>
      <c r="B35" s="2" t="str">
        <f>"00889004"</f>
        <v>00889004</v>
      </c>
      <c r="C35" s="2" t="str">
        <f>"黃上庭"</f>
        <v>黃上庭</v>
      </c>
      <c r="R35" s="2">
        <f t="shared" si="1"/>
        <v>0</v>
      </c>
    </row>
    <row r="36" spans="1:18" x14ac:dyDescent="0.3">
      <c r="A36" s="2" t="str">
        <f t="shared" si="2"/>
        <v>光電與材料科技學系</v>
      </c>
      <c r="B36" s="2" t="str">
        <f>"00889005"</f>
        <v>00889005</v>
      </c>
      <c r="C36" s="2" t="str">
        <f>"曾奕慈"</f>
        <v>曾奕慈</v>
      </c>
      <c r="R36" s="2">
        <f t="shared" si="1"/>
        <v>0</v>
      </c>
    </row>
    <row r="37" spans="1:18" x14ac:dyDescent="0.3">
      <c r="A37" s="2" t="str">
        <f t="shared" si="2"/>
        <v>光電與材料科技學系</v>
      </c>
      <c r="B37" s="2" t="str">
        <f>"00889006"</f>
        <v>00889006</v>
      </c>
      <c r="C37" s="2" t="str">
        <f>"劉宥忻"</f>
        <v>劉宥忻</v>
      </c>
      <c r="R37" s="2">
        <f t="shared" si="1"/>
        <v>0</v>
      </c>
    </row>
    <row r="38" spans="1:18" x14ac:dyDescent="0.3">
      <c r="A38" s="2" t="str">
        <f t="shared" si="2"/>
        <v>光電與材料科技學系</v>
      </c>
      <c r="B38" s="2" t="str">
        <f>"00889007"</f>
        <v>00889007</v>
      </c>
      <c r="C38" s="2" t="str">
        <f>"陳羿融"</f>
        <v>陳羿融</v>
      </c>
      <c r="G38" s="2">
        <v>1</v>
      </c>
      <c r="K38" s="2">
        <v>1</v>
      </c>
      <c r="R38" s="2">
        <f t="shared" si="1"/>
        <v>2</v>
      </c>
    </row>
    <row r="39" spans="1:18" x14ac:dyDescent="0.3">
      <c r="A39" s="2" t="str">
        <f t="shared" si="2"/>
        <v>光電與材料科技學系</v>
      </c>
      <c r="B39" s="2" t="str">
        <f>"00889008"</f>
        <v>00889008</v>
      </c>
      <c r="C39" s="2" t="str">
        <f>"張祐嘉"</f>
        <v>張祐嘉</v>
      </c>
      <c r="R39" s="2">
        <f t="shared" si="1"/>
        <v>0</v>
      </c>
    </row>
    <row r="40" spans="1:18" x14ac:dyDescent="0.3">
      <c r="A40" s="2" t="str">
        <f t="shared" si="2"/>
        <v>光電與材料科技學系</v>
      </c>
      <c r="B40" s="2" t="str">
        <f>"00889009"</f>
        <v>00889009</v>
      </c>
      <c r="C40" s="2" t="str">
        <f>"林宜慧"</f>
        <v>林宜慧</v>
      </c>
      <c r="R40" s="2">
        <f t="shared" si="1"/>
        <v>0</v>
      </c>
    </row>
    <row r="41" spans="1:18" x14ac:dyDescent="0.3">
      <c r="A41" s="2" t="str">
        <f t="shared" si="2"/>
        <v>光電與材料科技學系</v>
      </c>
      <c r="B41" s="2" t="str">
        <f>"00889010"</f>
        <v>00889010</v>
      </c>
      <c r="C41" s="2" t="str">
        <f>"王博正"</f>
        <v>王博正</v>
      </c>
      <c r="R41" s="2">
        <f t="shared" si="1"/>
        <v>0</v>
      </c>
    </row>
    <row r="42" spans="1:18" x14ac:dyDescent="0.3">
      <c r="A42" s="2" t="str">
        <f t="shared" si="2"/>
        <v>光電與材料科技學系</v>
      </c>
      <c r="B42" s="2" t="str">
        <f>"00889011"</f>
        <v>00889011</v>
      </c>
      <c r="C42" s="2" t="str">
        <f>"黃胤誠"</f>
        <v>黃胤誠</v>
      </c>
      <c r="R42" s="2">
        <f t="shared" si="1"/>
        <v>0</v>
      </c>
    </row>
    <row r="43" spans="1:18" x14ac:dyDescent="0.3">
      <c r="A43" s="2" t="str">
        <f t="shared" si="2"/>
        <v>光電與材料科技學系</v>
      </c>
      <c r="B43" s="2" t="str">
        <f>"00889012"</f>
        <v>00889012</v>
      </c>
      <c r="C43" s="2" t="str">
        <f>"張庭愷"</f>
        <v>張庭愷</v>
      </c>
      <c r="R43" s="2">
        <f t="shared" si="1"/>
        <v>0</v>
      </c>
    </row>
    <row r="44" spans="1:18" x14ac:dyDescent="0.3">
      <c r="A44" s="2" t="str">
        <f t="shared" si="2"/>
        <v>光電與材料科技學系</v>
      </c>
      <c r="B44" s="2" t="str">
        <f>"00889013"</f>
        <v>00889013</v>
      </c>
      <c r="C44" s="2" t="str">
        <f>"姜閔薰"</f>
        <v>姜閔薰</v>
      </c>
      <c r="R44" s="2">
        <f t="shared" si="1"/>
        <v>0</v>
      </c>
    </row>
    <row r="45" spans="1:18" x14ac:dyDescent="0.3">
      <c r="A45" s="2" t="str">
        <f t="shared" si="2"/>
        <v>光電與材料科技學系</v>
      </c>
      <c r="B45" s="2" t="str">
        <f>"00889014"</f>
        <v>00889014</v>
      </c>
      <c r="C45" s="2" t="str">
        <f>"張淮碩"</f>
        <v>張淮碩</v>
      </c>
      <c r="R45" s="2">
        <f t="shared" si="1"/>
        <v>0</v>
      </c>
    </row>
    <row r="46" spans="1:18" x14ac:dyDescent="0.3">
      <c r="A46" s="2" t="str">
        <f t="shared" si="2"/>
        <v>光電與材料科技學系</v>
      </c>
      <c r="B46" s="2" t="str">
        <f>"00889015"</f>
        <v>00889015</v>
      </c>
      <c r="C46" s="2" t="str">
        <f>"陳鈺欣"</f>
        <v>陳鈺欣</v>
      </c>
      <c r="R46" s="2">
        <f t="shared" si="1"/>
        <v>0</v>
      </c>
    </row>
    <row r="47" spans="1:18" x14ac:dyDescent="0.3">
      <c r="A47" s="2" t="str">
        <f t="shared" si="2"/>
        <v>光電與材料科技學系</v>
      </c>
      <c r="B47" s="2" t="str">
        <f>"00889016"</f>
        <v>00889016</v>
      </c>
      <c r="C47" s="2" t="str">
        <f>"陳哲揚"</f>
        <v>陳哲揚</v>
      </c>
      <c r="R47" s="2">
        <f t="shared" si="1"/>
        <v>0</v>
      </c>
    </row>
    <row r="48" spans="1:18" x14ac:dyDescent="0.3">
      <c r="A48" s="2" t="s">
        <v>0</v>
      </c>
      <c r="B48" s="2" t="s">
        <v>1</v>
      </c>
      <c r="C48" s="2" t="s">
        <v>2</v>
      </c>
      <c r="D48" s="3" t="s">
        <v>18</v>
      </c>
      <c r="E48" s="4" t="s">
        <v>19</v>
      </c>
      <c r="F48" s="4" t="s">
        <v>31</v>
      </c>
      <c r="G48" s="4" t="s">
        <v>20</v>
      </c>
      <c r="H48" s="4" t="s">
        <v>21</v>
      </c>
      <c r="I48" s="4" t="s">
        <v>22</v>
      </c>
      <c r="J48" s="4" t="s">
        <v>23</v>
      </c>
      <c r="K48" s="4" t="s">
        <v>24</v>
      </c>
      <c r="L48" s="4" t="s">
        <v>25</v>
      </c>
      <c r="M48" s="4" t="s">
        <v>26</v>
      </c>
      <c r="N48" s="4" t="s">
        <v>27</v>
      </c>
      <c r="O48" s="4" t="s">
        <v>28</v>
      </c>
      <c r="P48" s="4" t="s">
        <v>29</v>
      </c>
      <c r="Q48" s="4" t="s">
        <v>30</v>
      </c>
      <c r="R48" s="1" t="s">
        <v>3</v>
      </c>
    </row>
    <row r="49" spans="1:18" x14ac:dyDescent="0.3">
      <c r="A49" s="2" t="str">
        <f t="shared" si="2"/>
        <v>光電與材料科技學系</v>
      </c>
      <c r="B49" s="2" t="str">
        <f>"00889017"</f>
        <v>00889017</v>
      </c>
      <c r="C49" s="2" t="str">
        <f>"袁振皓"</f>
        <v>袁振皓</v>
      </c>
      <c r="R49" s="2">
        <f t="shared" si="1"/>
        <v>0</v>
      </c>
    </row>
    <row r="50" spans="1:18" x14ac:dyDescent="0.3">
      <c r="A50" s="2" t="str">
        <f t="shared" si="2"/>
        <v>光電與材料科技學系</v>
      </c>
      <c r="B50" s="2" t="str">
        <f>"00889018"</f>
        <v>00889018</v>
      </c>
      <c r="C50" s="2" t="str">
        <f>"陳冠翰"</f>
        <v>陳冠翰</v>
      </c>
      <c r="R50" s="2">
        <f t="shared" si="1"/>
        <v>0</v>
      </c>
    </row>
    <row r="51" spans="1:18" x14ac:dyDescent="0.3">
      <c r="A51" s="2" t="str">
        <f t="shared" si="2"/>
        <v>光電與材料科技學系</v>
      </c>
      <c r="B51" s="2" t="str">
        <f>"00889019"</f>
        <v>00889019</v>
      </c>
      <c r="C51" s="2" t="str">
        <f>"張皓翔"</f>
        <v>張皓翔</v>
      </c>
      <c r="R51" s="2">
        <f t="shared" si="1"/>
        <v>0</v>
      </c>
    </row>
    <row r="52" spans="1:18" x14ac:dyDescent="0.3">
      <c r="A52" s="2" t="str">
        <f t="shared" si="2"/>
        <v>光電與材料科技學系</v>
      </c>
      <c r="B52" s="2" t="str">
        <f>"00889020"</f>
        <v>00889020</v>
      </c>
      <c r="C52" s="2" t="str">
        <f>"邱浩瑋"</f>
        <v>邱浩瑋</v>
      </c>
      <c r="R52" s="2">
        <f t="shared" si="1"/>
        <v>0</v>
      </c>
    </row>
    <row r="53" spans="1:18" x14ac:dyDescent="0.3">
      <c r="A53" s="2" t="str">
        <f t="shared" si="2"/>
        <v>光電與材料科技學系</v>
      </c>
      <c r="B53" s="2" t="str">
        <f>"00889021"</f>
        <v>00889021</v>
      </c>
      <c r="C53" s="2" t="str">
        <f>"陳開元"</f>
        <v>陳開元</v>
      </c>
      <c r="R53" s="2">
        <f t="shared" si="1"/>
        <v>0</v>
      </c>
    </row>
    <row r="54" spans="1:18" x14ac:dyDescent="0.3">
      <c r="A54" s="2" t="str">
        <f t="shared" si="2"/>
        <v>光電與材料科技學系</v>
      </c>
      <c r="B54" s="2" t="str">
        <f>"00889022"</f>
        <v>00889022</v>
      </c>
      <c r="C54" s="2" t="str">
        <f>"許君瑄"</f>
        <v>許君瑄</v>
      </c>
      <c r="R54" s="2">
        <f t="shared" si="1"/>
        <v>0</v>
      </c>
    </row>
    <row r="55" spans="1:18" x14ac:dyDescent="0.3">
      <c r="A55" s="2" t="str">
        <f t="shared" si="2"/>
        <v>光電與材料科技學系</v>
      </c>
      <c r="B55" s="2" t="str">
        <f>"00889023"</f>
        <v>00889023</v>
      </c>
      <c r="C55" s="2" t="str">
        <f>"陳巧縈"</f>
        <v>陳巧縈</v>
      </c>
      <c r="R55" s="2">
        <f t="shared" si="1"/>
        <v>0</v>
      </c>
    </row>
    <row r="56" spans="1:18" x14ac:dyDescent="0.3">
      <c r="A56" s="2" t="str">
        <f t="shared" si="2"/>
        <v>光電與材料科技學系</v>
      </c>
      <c r="B56" s="2" t="str">
        <f>"00889024"</f>
        <v>00889024</v>
      </c>
      <c r="C56" s="2" t="str">
        <f>"賴政毅"</f>
        <v>賴政毅</v>
      </c>
      <c r="R56" s="2">
        <f t="shared" si="1"/>
        <v>0</v>
      </c>
    </row>
    <row r="57" spans="1:18" x14ac:dyDescent="0.3">
      <c r="A57" s="2" t="str">
        <f t="shared" si="2"/>
        <v>光電與材料科技學系</v>
      </c>
      <c r="B57" s="2" t="str">
        <f>"00889025"</f>
        <v>00889025</v>
      </c>
      <c r="C57" s="2" t="str">
        <f>"魏辰叡"</f>
        <v>魏辰叡</v>
      </c>
      <c r="R57" s="2">
        <f t="shared" si="1"/>
        <v>0</v>
      </c>
    </row>
    <row r="58" spans="1:18" x14ac:dyDescent="0.3">
      <c r="A58" s="2" t="str">
        <f t="shared" si="2"/>
        <v>光電與材料科技學系</v>
      </c>
      <c r="B58" s="2" t="str">
        <f>"00889026"</f>
        <v>00889026</v>
      </c>
      <c r="C58" s="2" t="str">
        <f>"莊松澔"</f>
        <v>莊松澔</v>
      </c>
      <c r="R58" s="2">
        <f t="shared" si="1"/>
        <v>0</v>
      </c>
    </row>
    <row r="59" spans="1:18" x14ac:dyDescent="0.3">
      <c r="A59" s="2" t="str">
        <f t="shared" si="2"/>
        <v>光電與材料科技學系</v>
      </c>
      <c r="B59" s="2" t="str">
        <f>"00889027"</f>
        <v>00889027</v>
      </c>
      <c r="C59" s="2" t="str">
        <f>"邱柏愷"</f>
        <v>邱柏愷</v>
      </c>
      <c r="R59" s="2">
        <f t="shared" si="1"/>
        <v>0</v>
      </c>
    </row>
    <row r="60" spans="1:18" x14ac:dyDescent="0.3">
      <c r="A60" s="2" t="str">
        <f t="shared" si="2"/>
        <v>光電與材料科技學系</v>
      </c>
      <c r="B60" s="2" t="str">
        <f>"00889028"</f>
        <v>00889028</v>
      </c>
      <c r="C60" s="2" t="str">
        <f>"廖彥智"</f>
        <v>廖彥智</v>
      </c>
      <c r="R60" s="2">
        <f t="shared" si="1"/>
        <v>0</v>
      </c>
    </row>
    <row r="61" spans="1:18" x14ac:dyDescent="0.3">
      <c r="A61" s="2" t="str">
        <f t="shared" si="2"/>
        <v>光電與材料科技學系</v>
      </c>
      <c r="B61" s="2" t="str">
        <f>"00889029"</f>
        <v>00889029</v>
      </c>
      <c r="C61" s="2" t="str">
        <f>"李昱賢"</f>
        <v>李昱賢</v>
      </c>
      <c r="R61" s="2">
        <f t="shared" si="1"/>
        <v>0</v>
      </c>
    </row>
    <row r="62" spans="1:18" x14ac:dyDescent="0.3">
      <c r="A62" s="2" t="str">
        <f t="shared" si="2"/>
        <v>光電與材料科技學系</v>
      </c>
      <c r="B62" s="2" t="str">
        <f>"00889030"</f>
        <v>00889030</v>
      </c>
      <c r="C62" s="2" t="str">
        <f>"郭家陽"</f>
        <v>郭家陽</v>
      </c>
      <c r="R62" s="2">
        <f t="shared" si="1"/>
        <v>0</v>
      </c>
    </row>
    <row r="63" spans="1:18" x14ac:dyDescent="0.3">
      <c r="R63" s="2">
        <f t="shared" si="1"/>
        <v>0</v>
      </c>
    </row>
    <row r="95" spans="1:18" x14ac:dyDescent="0.3">
      <c r="A95" s="2" t="s">
        <v>0</v>
      </c>
      <c r="B95" s="2" t="s">
        <v>1</v>
      </c>
      <c r="C95" s="2" t="s">
        <v>2</v>
      </c>
      <c r="D95" s="3" t="s">
        <v>17</v>
      </c>
      <c r="E95" s="3" t="s">
        <v>4</v>
      </c>
      <c r="F95" s="4" t="s">
        <v>5</v>
      </c>
      <c r="G95" s="4" t="s">
        <v>6</v>
      </c>
      <c r="H95" s="4" t="s">
        <v>7</v>
      </c>
      <c r="I95" s="4" t="s">
        <v>8</v>
      </c>
      <c r="J95" s="4" t="s">
        <v>9</v>
      </c>
      <c r="K95" s="4" t="s">
        <v>10</v>
      </c>
      <c r="L95" s="4" t="s">
        <v>11</v>
      </c>
      <c r="M95" s="4" t="s">
        <v>12</v>
      </c>
      <c r="N95" s="4" t="s">
        <v>13</v>
      </c>
      <c r="O95" s="4" t="s">
        <v>14</v>
      </c>
      <c r="P95" s="4" t="s">
        <v>15</v>
      </c>
      <c r="Q95" s="4" t="s">
        <v>16</v>
      </c>
      <c r="R95" s="1" t="s">
        <v>3</v>
      </c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&amp;C1081化學補強教學出席率登記本</oddHeader>
    <oddFooter>&amp;A&amp;R第 &amp;P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95"/>
  <sheetViews>
    <sheetView view="pageLayout" topLeftCell="A65" zoomScale="93" zoomScaleNormal="100" zoomScalePageLayoutView="93" workbookViewId="0">
      <selection activeCell="A3" sqref="A3:R88"/>
    </sheetView>
  </sheetViews>
  <sheetFormatPr defaultColWidth="8.77734375" defaultRowHeight="16.2" x14ac:dyDescent="0.3"/>
  <cols>
    <col min="1" max="1" width="6.109375" style="2" customWidth="1"/>
    <col min="2" max="2" width="8.77734375" style="2"/>
    <col min="3" max="3" width="8" style="2" customWidth="1"/>
    <col min="4" max="18" width="4.6640625" style="2" customWidth="1"/>
    <col min="19" max="16384" width="8.77734375" style="2"/>
  </cols>
  <sheetData>
    <row r="2" spans="1:18" x14ac:dyDescent="0.3">
      <c r="A2" s="2" t="s">
        <v>0</v>
      </c>
      <c r="B2" s="2" t="s">
        <v>1</v>
      </c>
      <c r="C2" s="2" t="s">
        <v>2</v>
      </c>
      <c r="D2" s="3" t="s">
        <v>18</v>
      </c>
      <c r="E2" s="4" t="s">
        <v>19</v>
      </c>
      <c r="F2" s="4" t="s">
        <v>31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 t="s">
        <v>27</v>
      </c>
      <c r="O2" s="4" t="s">
        <v>28</v>
      </c>
      <c r="P2" s="4" t="s">
        <v>29</v>
      </c>
      <c r="Q2" s="4" t="s">
        <v>30</v>
      </c>
      <c r="R2" s="1" t="s">
        <v>3</v>
      </c>
    </row>
    <row r="3" spans="1:18" x14ac:dyDescent="0.3">
      <c r="A3" s="2" t="str">
        <f t="shared" ref="A3:A37" si="0">"海洋生物科技學士學位學程"</f>
        <v>海洋生物科技學士學位學程</v>
      </c>
      <c r="B3" s="2" t="str">
        <f>"00838001"</f>
        <v>00838001</v>
      </c>
      <c r="C3" s="2" t="str">
        <f>"陳沁妤"</f>
        <v>陳沁妤</v>
      </c>
      <c r="H3" s="2">
        <v>1</v>
      </c>
      <c r="L3" s="2">
        <v>1</v>
      </c>
      <c r="P3" s="2">
        <v>1</v>
      </c>
      <c r="R3" s="2">
        <f>SUM(D3:Q3)</f>
        <v>3</v>
      </c>
    </row>
    <row r="4" spans="1:18" x14ac:dyDescent="0.3">
      <c r="A4" s="2" t="str">
        <f t="shared" si="0"/>
        <v>海洋生物科技學士學位學程</v>
      </c>
      <c r="B4" s="2" t="str">
        <f>"00838002"</f>
        <v>00838002</v>
      </c>
      <c r="C4" s="2" t="str">
        <f>"王子奕"</f>
        <v>王子奕</v>
      </c>
      <c r="R4" s="2">
        <f t="shared" ref="R4:R67" si="1">SUM(D4:Q4)</f>
        <v>0</v>
      </c>
    </row>
    <row r="5" spans="1:18" x14ac:dyDescent="0.3">
      <c r="A5" s="2" t="str">
        <f t="shared" si="0"/>
        <v>海洋生物科技學士學位學程</v>
      </c>
      <c r="B5" s="2" t="str">
        <f>"00838003"</f>
        <v>00838003</v>
      </c>
      <c r="C5" s="2" t="str">
        <f>"陳韋丞"</f>
        <v>陳韋丞</v>
      </c>
      <c r="R5" s="2">
        <f t="shared" si="1"/>
        <v>0</v>
      </c>
    </row>
    <row r="6" spans="1:18" x14ac:dyDescent="0.3">
      <c r="A6" s="2" t="str">
        <f t="shared" si="0"/>
        <v>海洋生物科技學士學位學程</v>
      </c>
      <c r="B6" s="2" t="str">
        <f>"00838004"</f>
        <v>00838004</v>
      </c>
      <c r="C6" s="2" t="str">
        <f>"李承叡"</f>
        <v>李承叡</v>
      </c>
      <c r="R6" s="2">
        <f t="shared" si="1"/>
        <v>0</v>
      </c>
    </row>
    <row r="7" spans="1:18" x14ac:dyDescent="0.3">
      <c r="A7" s="2" t="str">
        <f t="shared" si="0"/>
        <v>海洋生物科技學士學位學程</v>
      </c>
      <c r="B7" s="2" t="str">
        <f>"00838005"</f>
        <v>00838005</v>
      </c>
      <c r="C7" s="2" t="str">
        <f>"王立霖"</f>
        <v>王立霖</v>
      </c>
      <c r="R7" s="2">
        <f t="shared" si="1"/>
        <v>0</v>
      </c>
    </row>
    <row r="8" spans="1:18" x14ac:dyDescent="0.3">
      <c r="A8" s="2" t="str">
        <f t="shared" si="0"/>
        <v>海洋生物科技學士學位學程</v>
      </c>
      <c r="B8" s="2" t="str">
        <f>"00838006"</f>
        <v>00838006</v>
      </c>
      <c r="C8" s="2" t="str">
        <f>"余嘉暘"</f>
        <v>余嘉暘</v>
      </c>
      <c r="R8" s="2">
        <f t="shared" si="1"/>
        <v>0</v>
      </c>
    </row>
    <row r="9" spans="1:18" x14ac:dyDescent="0.3">
      <c r="A9" s="2" t="str">
        <f t="shared" si="0"/>
        <v>海洋生物科技學士學位學程</v>
      </c>
      <c r="B9" s="2" t="str">
        <f>"00838007"</f>
        <v>00838007</v>
      </c>
      <c r="C9" s="2" t="str">
        <f>"林佳澤"</f>
        <v>林佳澤</v>
      </c>
      <c r="R9" s="2">
        <f t="shared" si="1"/>
        <v>0</v>
      </c>
    </row>
    <row r="10" spans="1:18" x14ac:dyDescent="0.3">
      <c r="A10" s="2" t="str">
        <f t="shared" si="0"/>
        <v>海洋生物科技學士學位學程</v>
      </c>
      <c r="B10" s="2" t="str">
        <f>"00838008"</f>
        <v>00838008</v>
      </c>
      <c r="C10" s="2" t="str">
        <f>"張景涵"</f>
        <v>張景涵</v>
      </c>
      <c r="J10" s="2">
        <v>1</v>
      </c>
      <c r="L10" s="2">
        <v>1</v>
      </c>
      <c r="P10" s="2">
        <v>1</v>
      </c>
      <c r="R10" s="2">
        <f t="shared" si="1"/>
        <v>3</v>
      </c>
    </row>
    <row r="11" spans="1:18" x14ac:dyDescent="0.3">
      <c r="A11" s="2" t="str">
        <f t="shared" si="0"/>
        <v>海洋生物科技學士學位學程</v>
      </c>
      <c r="B11" s="2" t="str">
        <f>"00838009"</f>
        <v>00838009</v>
      </c>
      <c r="C11" s="2" t="str">
        <f>"吳亭潔"</f>
        <v>吳亭潔</v>
      </c>
      <c r="R11" s="2">
        <f t="shared" si="1"/>
        <v>0</v>
      </c>
    </row>
    <row r="12" spans="1:18" x14ac:dyDescent="0.3">
      <c r="A12" s="2" t="str">
        <f t="shared" si="0"/>
        <v>海洋生物科技學士學位學程</v>
      </c>
      <c r="B12" s="2" t="str">
        <f>"00838010"</f>
        <v>00838010</v>
      </c>
      <c r="C12" s="2" t="str">
        <f>"董士渰"</f>
        <v>董士渰</v>
      </c>
      <c r="R12" s="2">
        <f t="shared" si="1"/>
        <v>0</v>
      </c>
    </row>
    <row r="13" spans="1:18" x14ac:dyDescent="0.3">
      <c r="A13" s="2" t="str">
        <f t="shared" si="0"/>
        <v>海洋生物科技學士學位學程</v>
      </c>
      <c r="B13" s="2" t="str">
        <f>"00838011"</f>
        <v>00838011</v>
      </c>
      <c r="C13" s="2" t="str">
        <f>"許凱傑"</f>
        <v>許凱傑</v>
      </c>
      <c r="R13" s="2">
        <f t="shared" si="1"/>
        <v>0</v>
      </c>
    </row>
    <row r="14" spans="1:18" x14ac:dyDescent="0.3">
      <c r="A14" s="2" t="str">
        <f t="shared" si="0"/>
        <v>海洋生物科技學士學位學程</v>
      </c>
      <c r="B14" s="2" t="str">
        <f>"00838012"</f>
        <v>00838012</v>
      </c>
      <c r="C14" s="2" t="str">
        <f>"蘇意伊"</f>
        <v>蘇意伊</v>
      </c>
      <c r="R14" s="2">
        <f t="shared" si="1"/>
        <v>0</v>
      </c>
    </row>
    <row r="15" spans="1:18" x14ac:dyDescent="0.3">
      <c r="A15" s="2" t="str">
        <f t="shared" si="0"/>
        <v>海洋生物科技學士學位學程</v>
      </c>
      <c r="B15" s="2" t="str">
        <f>"00838013"</f>
        <v>00838013</v>
      </c>
      <c r="C15" s="2" t="str">
        <f>"何姿璇"</f>
        <v>何姿璇</v>
      </c>
      <c r="J15" s="2">
        <v>1</v>
      </c>
      <c r="L15" s="2">
        <v>1</v>
      </c>
      <c r="P15" s="2">
        <v>1</v>
      </c>
      <c r="R15" s="2">
        <f t="shared" si="1"/>
        <v>3</v>
      </c>
    </row>
    <row r="16" spans="1:18" x14ac:dyDescent="0.3">
      <c r="A16" s="2" t="str">
        <f t="shared" si="0"/>
        <v>海洋生物科技學士學位學程</v>
      </c>
      <c r="B16" s="2" t="str">
        <f>"00838014"</f>
        <v>00838014</v>
      </c>
      <c r="C16" s="2" t="str">
        <f>"張景涵"</f>
        <v>張景涵</v>
      </c>
      <c r="R16" s="2">
        <f t="shared" si="1"/>
        <v>0</v>
      </c>
    </row>
    <row r="17" spans="1:18" x14ac:dyDescent="0.3">
      <c r="A17" s="2" t="str">
        <f t="shared" si="0"/>
        <v>海洋生物科技學士學位學程</v>
      </c>
      <c r="B17" s="2" t="str">
        <f>"00838015"</f>
        <v>00838015</v>
      </c>
      <c r="C17" s="2" t="str">
        <f>"張采霏"</f>
        <v>張采霏</v>
      </c>
      <c r="R17" s="2">
        <f t="shared" si="1"/>
        <v>0</v>
      </c>
    </row>
    <row r="18" spans="1:18" x14ac:dyDescent="0.3">
      <c r="A18" s="2" t="str">
        <f t="shared" si="0"/>
        <v>海洋生物科技學士學位學程</v>
      </c>
      <c r="B18" s="2" t="str">
        <f>"00838016"</f>
        <v>00838016</v>
      </c>
      <c r="C18" s="2" t="str">
        <f>"周宸維"</f>
        <v>周宸維</v>
      </c>
      <c r="R18" s="2">
        <f t="shared" si="1"/>
        <v>0</v>
      </c>
    </row>
    <row r="19" spans="1:18" x14ac:dyDescent="0.3">
      <c r="A19" s="2" t="str">
        <f t="shared" si="0"/>
        <v>海洋生物科技學士學位學程</v>
      </c>
      <c r="B19" s="2" t="str">
        <f>"00838017"</f>
        <v>00838017</v>
      </c>
      <c r="C19" s="2" t="str">
        <f>"黃柏霖"</f>
        <v>黃柏霖</v>
      </c>
      <c r="R19" s="2">
        <f t="shared" si="1"/>
        <v>0</v>
      </c>
    </row>
    <row r="20" spans="1:18" x14ac:dyDescent="0.3">
      <c r="A20" s="2" t="str">
        <f t="shared" si="0"/>
        <v>海洋生物科技學士學位學程</v>
      </c>
      <c r="B20" s="2" t="str">
        <f>"00838018"</f>
        <v>00838018</v>
      </c>
      <c r="C20" s="2" t="str">
        <f>"吳宛妮"</f>
        <v>吳宛妮</v>
      </c>
      <c r="R20" s="2">
        <f t="shared" si="1"/>
        <v>0</v>
      </c>
    </row>
    <row r="21" spans="1:18" x14ac:dyDescent="0.3">
      <c r="A21" s="2" t="str">
        <f t="shared" si="0"/>
        <v>海洋生物科技學士學位學程</v>
      </c>
      <c r="B21" s="2" t="str">
        <f>"00838019"</f>
        <v>00838019</v>
      </c>
      <c r="C21" s="2" t="str">
        <f>"吳忻穎"</f>
        <v>吳忻穎</v>
      </c>
      <c r="P21" s="2">
        <v>1</v>
      </c>
      <c r="R21" s="2">
        <f t="shared" si="1"/>
        <v>1</v>
      </c>
    </row>
    <row r="22" spans="1:18" x14ac:dyDescent="0.3">
      <c r="A22" s="2" t="str">
        <f t="shared" si="0"/>
        <v>海洋生物科技學士學位學程</v>
      </c>
      <c r="B22" s="2" t="str">
        <f>"00838020"</f>
        <v>00838020</v>
      </c>
      <c r="C22" s="2" t="str">
        <f>"洪偵瑜"</f>
        <v>洪偵瑜</v>
      </c>
      <c r="R22" s="2">
        <f t="shared" si="1"/>
        <v>0</v>
      </c>
    </row>
    <row r="23" spans="1:18" x14ac:dyDescent="0.3">
      <c r="A23" s="2" t="str">
        <f t="shared" si="0"/>
        <v>海洋生物科技學士學位學程</v>
      </c>
      <c r="B23" s="2" t="str">
        <f>"00838021"</f>
        <v>00838021</v>
      </c>
      <c r="C23" s="2" t="str">
        <f>"陳允聖"</f>
        <v>陳允聖</v>
      </c>
      <c r="R23" s="2">
        <f t="shared" si="1"/>
        <v>0</v>
      </c>
    </row>
    <row r="24" spans="1:18" x14ac:dyDescent="0.3">
      <c r="A24" s="2" t="str">
        <f t="shared" si="0"/>
        <v>海洋生物科技學士學位學程</v>
      </c>
      <c r="B24" s="2" t="str">
        <f>"00838022"</f>
        <v>00838022</v>
      </c>
      <c r="C24" s="2" t="str">
        <f>"何易昀"</f>
        <v>何易昀</v>
      </c>
      <c r="R24" s="2">
        <f t="shared" si="1"/>
        <v>0</v>
      </c>
    </row>
    <row r="25" spans="1:18" x14ac:dyDescent="0.3">
      <c r="A25" s="2" t="str">
        <f t="shared" si="0"/>
        <v>海洋生物科技學士學位學程</v>
      </c>
      <c r="B25" s="2" t="str">
        <f>"00838023"</f>
        <v>00838023</v>
      </c>
      <c r="C25" s="2" t="str">
        <f>"巫明桀"</f>
        <v>巫明桀</v>
      </c>
      <c r="R25" s="2">
        <f t="shared" si="1"/>
        <v>0</v>
      </c>
    </row>
    <row r="26" spans="1:18" x14ac:dyDescent="0.3">
      <c r="A26" s="2" t="str">
        <f t="shared" si="0"/>
        <v>海洋生物科技學士學位學程</v>
      </c>
      <c r="B26" s="2" t="str">
        <f>"00838024"</f>
        <v>00838024</v>
      </c>
      <c r="C26" s="2" t="str">
        <f>"陳韋妮"</f>
        <v>陳韋妮</v>
      </c>
      <c r="R26" s="2">
        <f t="shared" si="1"/>
        <v>0</v>
      </c>
    </row>
    <row r="27" spans="1:18" x14ac:dyDescent="0.3">
      <c r="A27" s="2" t="str">
        <f t="shared" si="0"/>
        <v>海洋生物科技學士學位學程</v>
      </c>
      <c r="B27" s="2" t="str">
        <f>"00838025"</f>
        <v>00838025</v>
      </c>
      <c r="C27" s="2" t="str">
        <f>"廖心寬"</f>
        <v>廖心寬</v>
      </c>
      <c r="R27" s="2">
        <f t="shared" si="1"/>
        <v>0</v>
      </c>
    </row>
    <row r="28" spans="1:18" x14ac:dyDescent="0.3">
      <c r="A28" s="2" t="str">
        <f t="shared" si="0"/>
        <v>海洋生物科技學士學位學程</v>
      </c>
      <c r="B28" s="2" t="str">
        <f>"00838026"</f>
        <v>00838026</v>
      </c>
      <c r="C28" s="2" t="str">
        <f>"陳永承"</f>
        <v>陳永承</v>
      </c>
      <c r="R28" s="2">
        <f t="shared" si="1"/>
        <v>0</v>
      </c>
    </row>
    <row r="29" spans="1:18" x14ac:dyDescent="0.3">
      <c r="A29" s="2" t="str">
        <f t="shared" si="0"/>
        <v>海洋生物科技學士學位學程</v>
      </c>
      <c r="B29" s="2" t="str">
        <f>"00838027"</f>
        <v>00838027</v>
      </c>
      <c r="C29" s="2" t="str">
        <f>"何采芸"</f>
        <v>何采芸</v>
      </c>
      <c r="R29" s="2">
        <f t="shared" si="1"/>
        <v>0</v>
      </c>
    </row>
    <row r="30" spans="1:18" x14ac:dyDescent="0.3">
      <c r="A30" s="2" t="str">
        <f t="shared" si="0"/>
        <v>海洋生物科技學士學位學程</v>
      </c>
      <c r="B30" s="2" t="str">
        <f>"00838028"</f>
        <v>00838028</v>
      </c>
      <c r="C30" s="2" t="str">
        <f>"時俊吉"</f>
        <v>時俊吉</v>
      </c>
      <c r="R30" s="2">
        <f t="shared" si="1"/>
        <v>0</v>
      </c>
    </row>
    <row r="31" spans="1:18" x14ac:dyDescent="0.3">
      <c r="A31" s="2" t="str">
        <f t="shared" si="0"/>
        <v>海洋生物科技學士學位學程</v>
      </c>
      <c r="B31" s="2" t="str">
        <f>"00838029"</f>
        <v>00838029</v>
      </c>
      <c r="C31" s="2" t="str">
        <f>"胡晏綺"</f>
        <v>胡晏綺</v>
      </c>
      <c r="R31" s="2">
        <f t="shared" si="1"/>
        <v>0</v>
      </c>
    </row>
    <row r="32" spans="1:18" x14ac:dyDescent="0.3">
      <c r="A32" s="2" t="str">
        <f t="shared" si="0"/>
        <v>海洋生物科技學士學位學程</v>
      </c>
      <c r="B32" s="2" t="str">
        <f>"00838030"</f>
        <v>00838030</v>
      </c>
      <c r="C32" s="2" t="str">
        <f>"施雅馨"</f>
        <v>施雅馨</v>
      </c>
      <c r="R32" s="2">
        <f t="shared" si="1"/>
        <v>0</v>
      </c>
    </row>
    <row r="33" spans="1:18" x14ac:dyDescent="0.3">
      <c r="A33" s="2" t="str">
        <f t="shared" si="0"/>
        <v>海洋生物科技學士學位學程</v>
      </c>
      <c r="B33" s="2" t="str">
        <f>"00838031"</f>
        <v>00838031</v>
      </c>
      <c r="C33" s="2" t="str">
        <f>"王彩芬"</f>
        <v>王彩芬</v>
      </c>
      <c r="R33" s="2">
        <f t="shared" si="1"/>
        <v>0</v>
      </c>
    </row>
    <row r="34" spans="1:18" x14ac:dyDescent="0.3">
      <c r="A34" s="2" t="str">
        <f t="shared" si="0"/>
        <v>海洋生物科技學士學位學程</v>
      </c>
      <c r="B34" s="2" t="str">
        <f>"00838032"</f>
        <v>00838032</v>
      </c>
      <c r="C34" s="2" t="str">
        <f>"?美琳"</f>
        <v>?美琳</v>
      </c>
      <c r="R34" s="2">
        <f t="shared" si="1"/>
        <v>0</v>
      </c>
    </row>
    <row r="35" spans="1:18" x14ac:dyDescent="0.3">
      <c r="A35" s="2" t="str">
        <f t="shared" si="0"/>
        <v>海洋生物科技學士學位學程</v>
      </c>
      <c r="B35" s="2" t="str">
        <f>"00838033"</f>
        <v>00838033</v>
      </c>
      <c r="C35" s="2" t="str">
        <f>"譚煒堯"</f>
        <v>譚煒堯</v>
      </c>
      <c r="R35" s="2">
        <f t="shared" si="1"/>
        <v>0</v>
      </c>
    </row>
    <row r="36" spans="1:18" x14ac:dyDescent="0.3">
      <c r="A36" s="2" t="str">
        <f t="shared" si="0"/>
        <v>海洋生物科技學士學位學程</v>
      </c>
      <c r="B36" s="2" t="str">
        <f>"00838034"</f>
        <v>00838034</v>
      </c>
      <c r="C36" s="2" t="str">
        <f>"鄭智澧"</f>
        <v>鄭智澧</v>
      </c>
      <c r="R36" s="2">
        <f t="shared" si="1"/>
        <v>0</v>
      </c>
    </row>
    <row r="37" spans="1:18" x14ac:dyDescent="0.3">
      <c r="A37" s="2" t="str">
        <f t="shared" si="0"/>
        <v>海洋生物科技學士學位學程</v>
      </c>
      <c r="B37" s="2" t="str">
        <f>"00838035"</f>
        <v>00838035</v>
      </c>
      <c r="C37" s="2" t="str">
        <f>"潘晴茵"</f>
        <v>潘晴茵</v>
      </c>
      <c r="R37" s="2">
        <f t="shared" si="1"/>
        <v>0</v>
      </c>
    </row>
    <row r="38" spans="1:18" x14ac:dyDescent="0.3">
      <c r="A38" s="2" t="str">
        <f t="shared" ref="A38:A87" si="2">"生命科學暨生物科技學系"</f>
        <v>生命科學暨生物科技學系</v>
      </c>
      <c r="B38" s="2" t="str">
        <f>"0083B001"</f>
        <v>0083B001</v>
      </c>
      <c r="C38" s="2" t="str">
        <f>"楊蕍壎"</f>
        <v>楊蕍壎</v>
      </c>
      <c r="R38" s="2">
        <f t="shared" si="1"/>
        <v>0</v>
      </c>
    </row>
    <row r="39" spans="1:18" x14ac:dyDescent="0.3">
      <c r="A39" s="2" t="str">
        <f t="shared" si="2"/>
        <v>生命科學暨生物科技學系</v>
      </c>
      <c r="B39" s="2" t="str">
        <f>"0083B002"</f>
        <v>0083B002</v>
      </c>
      <c r="C39" s="2" t="str">
        <f>"翁曉玟"</f>
        <v>翁曉玟</v>
      </c>
      <c r="F39" s="2">
        <v>1</v>
      </c>
      <c r="R39" s="2">
        <f t="shared" si="1"/>
        <v>1</v>
      </c>
    </row>
    <row r="40" spans="1:18" x14ac:dyDescent="0.3">
      <c r="A40" s="2" t="str">
        <f t="shared" si="2"/>
        <v>生命科學暨生物科技學系</v>
      </c>
      <c r="B40" s="2" t="str">
        <f>"0083B003"</f>
        <v>0083B003</v>
      </c>
      <c r="C40" s="2" t="str">
        <f>"郭珈菱"</f>
        <v>郭珈菱</v>
      </c>
      <c r="R40" s="2">
        <f t="shared" si="1"/>
        <v>0</v>
      </c>
    </row>
    <row r="41" spans="1:18" x14ac:dyDescent="0.3">
      <c r="A41" s="2" t="str">
        <f t="shared" si="2"/>
        <v>生命科學暨生物科技學系</v>
      </c>
      <c r="B41" s="2" t="str">
        <f>"0083B004"</f>
        <v>0083B004</v>
      </c>
      <c r="C41" s="2" t="str">
        <f>"謝昊均"</f>
        <v>謝昊均</v>
      </c>
      <c r="R41" s="2">
        <f t="shared" si="1"/>
        <v>0</v>
      </c>
    </row>
    <row r="42" spans="1:18" x14ac:dyDescent="0.3">
      <c r="A42" s="2" t="str">
        <f t="shared" si="2"/>
        <v>生命科學暨生物科技學系</v>
      </c>
      <c r="B42" s="2" t="str">
        <f>"0083B005"</f>
        <v>0083B005</v>
      </c>
      <c r="C42" s="2" t="str">
        <f>"陳璟煜"</f>
        <v>陳璟煜</v>
      </c>
      <c r="R42" s="2">
        <f t="shared" si="1"/>
        <v>0</v>
      </c>
    </row>
    <row r="43" spans="1:18" x14ac:dyDescent="0.3">
      <c r="A43" s="2" t="str">
        <f t="shared" si="2"/>
        <v>生命科學暨生物科技學系</v>
      </c>
      <c r="B43" s="2" t="str">
        <f>"0083B006"</f>
        <v>0083B006</v>
      </c>
      <c r="C43" s="2" t="str">
        <f>"秦敬翔"</f>
        <v>秦敬翔</v>
      </c>
      <c r="F43" s="2">
        <v>1</v>
      </c>
      <c r="R43" s="2">
        <f t="shared" si="1"/>
        <v>1</v>
      </c>
    </row>
    <row r="44" spans="1:18" x14ac:dyDescent="0.3">
      <c r="A44" s="2" t="str">
        <f t="shared" si="2"/>
        <v>生命科學暨生物科技學系</v>
      </c>
      <c r="B44" s="2" t="str">
        <f>"0083B007"</f>
        <v>0083B007</v>
      </c>
      <c r="C44" s="2" t="str">
        <f>"朱圃慧"</f>
        <v>朱圃慧</v>
      </c>
      <c r="R44" s="2">
        <f t="shared" si="1"/>
        <v>0</v>
      </c>
    </row>
    <row r="45" spans="1:18" x14ac:dyDescent="0.3">
      <c r="A45" s="2" t="str">
        <f t="shared" si="2"/>
        <v>生命科學暨生物科技學系</v>
      </c>
      <c r="B45" s="2" t="str">
        <f>"0083B008"</f>
        <v>0083B008</v>
      </c>
      <c r="C45" s="2" t="str">
        <f>"許淩飛"</f>
        <v>許淩飛</v>
      </c>
      <c r="R45" s="2">
        <f t="shared" si="1"/>
        <v>0</v>
      </c>
    </row>
    <row r="46" spans="1:18" x14ac:dyDescent="0.3">
      <c r="A46" s="2" t="str">
        <f t="shared" si="2"/>
        <v>生命科學暨生物科技學系</v>
      </c>
      <c r="B46" s="2" t="str">
        <f>"0083B009"</f>
        <v>0083B009</v>
      </c>
      <c r="C46" s="2" t="str">
        <f>"張正翰"</f>
        <v>張正翰</v>
      </c>
      <c r="R46" s="2">
        <f t="shared" si="1"/>
        <v>0</v>
      </c>
    </row>
    <row r="47" spans="1:18" x14ac:dyDescent="0.3">
      <c r="A47" s="2" t="str">
        <f t="shared" si="2"/>
        <v>生命科學暨生物科技學系</v>
      </c>
      <c r="B47" s="2" t="str">
        <f>"0083B010"</f>
        <v>0083B010</v>
      </c>
      <c r="C47" s="2" t="str">
        <f>"黃稚堯"</f>
        <v>黃稚堯</v>
      </c>
      <c r="R47" s="2">
        <f t="shared" si="1"/>
        <v>0</v>
      </c>
    </row>
    <row r="48" spans="1:18" x14ac:dyDescent="0.3">
      <c r="A48" s="2" t="s">
        <v>0</v>
      </c>
      <c r="B48" s="2" t="s">
        <v>1</v>
      </c>
      <c r="C48" s="2" t="s">
        <v>2</v>
      </c>
      <c r="D48" s="3" t="s">
        <v>18</v>
      </c>
      <c r="E48" s="4" t="s">
        <v>19</v>
      </c>
      <c r="F48" s="4" t="s">
        <v>31</v>
      </c>
      <c r="G48" s="4" t="s">
        <v>20</v>
      </c>
      <c r="H48" s="4" t="s">
        <v>21</v>
      </c>
      <c r="I48" s="4" t="s">
        <v>22</v>
      </c>
      <c r="J48" s="4" t="s">
        <v>23</v>
      </c>
      <c r="K48" s="4" t="s">
        <v>24</v>
      </c>
      <c r="L48" s="4" t="s">
        <v>25</v>
      </c>
      <c r="M48" s="4" t="s">
        <v>26</v>
      </c>
      <c r="N48" s="4" t="s">
        <v>27</v>
      </c>
      <c r="O48" s="4" t="s">
        <v>28</v>
      </c>
      <c r="P48" s="4" t="s">
        <v>29</v>
      </c>
      <c r="Q48" s="4" t="s">
        <v>30</v>
      </c>
      <c r="R48" s="1" t="s">
        <v>3</v>
      </c>
    </row>
    <row r="49" spans="1:18" x14ac:dyDescent="0.3">
      <c r="A49" s="2" t="str">
        <f t="shared" si="2"/>
        <v>生命科學暨生物科技學系</v>
      </c>
      <c r="B49" s="2" t="str">
        <f>"0083B011"</f>
        <v>0083B011</v>
      </c>
      <c r="C49" s="2" t="str">
        <f>"馮鈞農"</f>
        <v>馮鈞農</v>
      </c>
      <c r="R49" s="2">
        <f t="shared" si="1"/>
        <v>0</v>
      </c>
    </row>
    <row r="50" spans="1:18" x14ac:dyDescent="0.3">
      <c r="A50" s="2" t="str">
        <f t="shared" si="2"/>
        <v>生命科學暨生物科技學系</v>
      </c>
      <c r="B50" s="2" t="str">
        <f>"0083B012"</f>
        <v>0083B012</v>
      </c>
      <c r="C50" s="2" t="str">
        <f>"劉佳芬"</f>
        <v>劉佳芬</v>
      </c>
      <c r="R50" s="2">
        <f t="shared" si="1"/>
        <v>0</v>
      </c>
    </row>
    <row r="51" spans="1:18" x14ac:dyDescent="0.3">
      <c r="A51" s="2" t="str">
        <f t="shared" si="2"/>
        <v>生命科學暨生物科技學系</v>
      </c>
      <c r="B51" s="2" t="str">
        <f>"0083B013"</f>
        <v>0083B013</v>
      </c>
      <c r="C51" s="2" t="str">
        <f>"張聚言"</f>
        <v>張聚言</v>
      </c>
      <c r="R51" s="2">
        <f t="shared" si="1"/>
        <v>0</v>
      </c>
    </row>
    <row r="52" spans="1:18" x14ac:dyDescent="0.3">
      <c r="A52" s="2" t="str">
        <f t="shared" si="2"/>
        <v>生命科學暨生物科技學系</v>
      </c>
      <c r="B52" s="2" t="str">
        <f>"0083B014"</f>
        <v>0083B014</v>
      </c>
      <c r="C52" s="2" t="str">
        <f>"黃品瑜"</f>
        <v>黃品瑜</v>
      </c>
      <c r="E52" s="2">
        <v>1</v>
      </c>
      <c r="G52" s="2">
        <v>1</v>
      </c>
      <c r="K52" s="2">
        <v>1</v>
      </c>
      <c r="O52" s="2">
        <v>1</v>
      </c>
      <c r="R52" s="2">
        <f t="shared" si="1"/>
        <v>4</v>
      </c>
    </row>
    <row r="53" spans="1:18" x14ac:dyDescent="0.3">
      <c r="A53" s="2" t="str">
        <f t="shared" si="2"/>
        <v>生命科學暨生物科技學系</v>
      </c>
      <c r="B53" s="2" t="str">
        <f>"0083B015"</f>
        <v>0083B015</v>
      </c>
      <c r="C53" s="2" t="str">
        <f>"楊雅慈"</f>
        <v>楊雅慈</v>
      </c>
      <c r="R53" s="2">
        <f t="shared" si="1"/>
        <v>0</v>
      </c>
    </row>
    <row r="54" spans="1:18" x14ac:dyDescent="0.3">
      <c r="A54" s="2" t="str">
        <f t="shared" si="2"/>
        <v>生命科學暨生物科技學系</v>
      </c>
      <c r="B54" s="2" t="str">
        <f>"0083B016"</f>
        <v>0083B016</v>
      </c>
      <c r="C54" s="2" t="str">
        <f>"陳思妤"</f>
        <v>陳思妤</v>
      </c>
      <c r="R54" s="2">
        <f t="shared" si="1"/>
        <v>0</v>
      </c>
    </row>
    <row r="55" spans="1:18" x14ac:dyDescent="0.3">
      <c r="A55" s="2" t="str">
        <f t="shared" si="2"/>
        <v>生命科學暨生物科技學系</v>
      </c>
      <c r="B55" s="2" t="str">
        <f>"0083B017"</f>
        <v>0083B017</v>
      </c>
      <c r="C55" s="2" t="str">
        <f>"陳怡婕"</f>
        <v>陳怡婕</v>
      </c>
      <c r="R55" s="2">
        <f t="shared" si="1"/>
        <v>0</v>
      </c>
    </row>
    <row r="56" spans="1:18" x14ac:dyDescent="0.3">
      <c r="A56" s="2" t="str">
        <f t="shared" si="2"/>
        <v>生命科學暨生物科技學系</v>
      </c>
      <c r="B56" s="2" t="str">
        <f>"0083B018"</f>
        <v>0083B018</v>
      </c>
      <c r="C56" s="2" t="str">
        <f>"楊惟名"</f>
        <v>楊惟名</v>
      </c>
      <c r="R56" s="2">
        <f t="shared" si="1"/>
        <v>0</v>
      </c>
    </row>
    <row r="57" spans="1:18" x14ac:dyDescent="0.3">
      <c r="A57" s="2" t="str">
        <f t="shared" si="2"/>
        <v>生命科學暨生物科技學系</v>
      </c>
      <c r="B57" s="2" t="str">
        <f>"0083B019"</f>
        <v>0083B019</v>
      </c>
      <c r="C57" s="2" t="str">
        <f>"李茂瑋"</f>
        <v>李茂瑋</v>
      </c>
      <c r="R57" s="2">
        <f t="shared" si="1"/>
        <v>0</v>
      </c>
    </row>
    <row r="58" spans="1:18" x14ac:dyDescent="0.3">
      <c r="A58" s="2" t="str">
        <f t="shared" si="2"/>
        <v>生命科學暨生物科技學系</v>
      </c>
      <c r="B58" s="2" t="str">
        <f>"0083B020"</f>
        <v>0083B020</v>
      </c>
      <c r="C58" s="2" t="str">
        <f>"蘇容薇"</f>
        <v>蘇容薇</v>
      </c>
      <c r="F58" s="2">
        <v>1</v>
      </c>
      <c r="R58" s="2">
        <f t="shared" si="1"/>
        <v>1</v>
      </c>
    </row>
    <row r="59" spans="1:18" x14ac:dyDescent="0.3">
      <c r="A59" s="2" t="str">
        <f t="shared" si="2"/>
        <v>生命科學暨生物科技學系</v>
      </c>
      <c r="B59" s="2" t="str">
        <f>"0083B021"</f>
        <v>0083B021</v>
      </c>
      <c r="C59" s="2" t="str">
        <f>"姚懿真"</f>
        <v>姚懿真</v>
      </c>
      <c r="R59" s="2">
        <f t="shared" si="1"/>
        <v>0</v>
      </c>
    </row>
    <row r="60" spans="1:18" x14ac:dyDescent="0.3">
      <c r="A60" s="2" t="str">
        <f t="shared" si="2"/>
        <v>生命科學暨生物科技學系</v>
      </c>
      <c r="B60" s="2" t="str">
        <f>"0083B022"</f>
        <v>0083B022</v>
      </c>
      <c r="C60" s="2" t="str">
        <f>"廖珮涵"</f>
        <v>廖珮涵</v>
      </c>
      <c r="R60" s="2">
        <f t="shared" si="1"/>
        <v>0</v>
      </c>
    </row>
    <row r="61" spans="1:18" x14ac:dyDescent="0.3">
      <c r="A61" s="2" t="str">
        <f t="shared" si="2"/>
        <v>生命科學暨生物科技學系</v>
      </c>
      <c r="B61" s="2" t="str">
        <f>"0083B023"</f>
        <v>0083B023</v>
      </c>
      <c r="C61" s="2" t="str">
        <f>"朱歆榆"</f>
        <v>朱歆榆</v>
      </c>
      <c r="R61" s="2">
        <f t="shared" si="1"/>
        <v>0</v>
      </c>
    </row>
    <row r="62" spans="1:18" x14ac:dyDescent="0.3">
      <c r="A62" s="2" t="str">
        <f t="shared" si="2"/>
        <v>生命科學暨生物科技學系</v>
      </c>
      <c r="B62" s="2" t="str">
        <f>"0083B024"</f>
        <v>0083B024</v>
      </c>
      <c r="C62" s="2" t="str">
        <f>"廖晟圻"</f>
        <v>廖晟圻</v>
      </c>
      <c r="R62" s="2">
        <f t="shared" si="1"/>
        <v>0</v>
      </c>
    </row>
    <row r="63" spans="1:18" x14ac:dyDescent="0.3">
      <c r="A63" s="2" t="str">
        <f t="shared" si="2"/>
        <v>生命科學暨生物科技學系</v>
      </c>
      <c r="B63" s="2" t="str">
        <f>"0083B025"</f>
        <v>0083B025</v>
      </c>
      <c r="C63" s="2" t="str">
        <f>"黃紫綺"</f>
        <v>黃紫綺</v>
      </c>
      <c r="R63" s="2">
        <f t="shared" si="1"/>
        <v>0</v>
      </c>
    </row>
    <row r="64" spans="1:18" x14ac:dyDescent="0.3">
      <c r="A64" s="2" t="str">
        <f t="shared" si="2"/>
        <v>生命科學暨生物科技學系</v>
      </c>
      <c r="B64" s="2" t="str">
        <f>"0083B026"</f>
        <v>0083B026</v>
      </c>
      <c r="C64" s="2" t="str">
        <f>"韓邦弘"</f>
        <v>韓邦弘</v>
      </c>
      <c r="R64" s="2">
        <f t="shared" si="1"/>
        <v>0</v>
      </c>
    </row>
    <row r="65" spans="1:18" x14ac:dyDescent="0.3">
      <c r="A65" s="2" t="str">
        <f t="shared" si="2"/>
        <v>生命科學暨生物科技學系</v>
      </c>
      <c r="B65" s="2" t="str">
        <f>"0083B027"</f>
        <v>0083B027</v>
      </c>
      <c r="C65" s="2" t="str">
        <f>"楊光民"</f>
        <v>楊光民</v>
      </c>
      <c r="R65" s="2">
        <f t="shared" si="1"/>
        <v>0</v>
      </c>
    </row>
    <row r="66" spans="1:18" x14ac:dyDescent="0.3">
      <c r="A66" s="2" t="str">
        <f t="shared" si="2"/>
        <v>生命科學暨生物科技學系</v>
      </c>
      <c r="B66" s="2" t="str">
        <f>"0083B028"</f>
        <v>0083B028</v>
      </c>
      <c r="C66" s="2" t="str">
        <f>"廖珮媛"</f>
        <v>廖珮媛</v>
      </c>
      <c r="E66" s="2">
        <v>1</v>
      </c>
      <c r="G66" s="2">
        <v>1</v>
      </c>
      <c r="K66" s="2">
        <v>1</v>
      </c>
      <c r="O66" s="2">
        <v>1</v>
      </c>
      <c r="R66" s="2">
        <f t="shared" si="1"/>
        <v>4</v>
      </c>
    </row>
    <row r="67" spans="1:18" x14ac:dyDescent="0.3">
      <c r="A67" s="2" t="str">
        <f t="shared" si="2"/>
        <v>生命科學暨生物科技學系</v>
      </c>
      <c r="B67" s="2" t="str">
        <f>"0083B029"</f>
        <v>0083B029</v>
      </c>
      <c r="C67" s="2" t="str">
        <f>"邱威智"</f>
        <v>邱威智</v>
      </c>
      <c r="R67" s="2">
        <f t="shared" si="1"/>
        <v>0</v>
      </c>
    </row>
    <row r="68" spans="1:18" x14ac:dyDescent="0.3">
      <c r="A68" s="2" t="str">
        <f t="shared" si="2"/>
        <v>生命科學暨生物科技學系</v>
      </c>
      <c r="B68" s="2" t="str">
        <f>"0083B030"</f>
        <v>0083B030</v>
      </c>
      <c r="C68" s="2" t="str">
        <f>"郭傑恩"</f>
        <v>郭傑恩</v>
      </c>
      <c r="R68" s="2">
        <f t="shared" ref="R68:R88" si="3">SUM(D68:Q68)</f>
        <v>0</v>
      </c>
    </row>
    <row r="69" spans="1:18" x14ac:dyDescent="0.3">
      <c r="A69" s="2" t="str">
        <f t="shared" si="2"/>
        <v>生命科學暨生物科技學系</v>
      </c>
      <c r="B69" s="2" t="str">
        <f>"0083B031"</f>
        <v>0083B031</v>
      </c>
      <c r="C69" s="2" t="str">
        <f>"楊詠嵐"</f>
        <v>楊詠嵐</v>
      </c>
      <c r="R69" s="2">
        <f t="shared" si="3"/>
        <v>0</v>
      </c>
    </row>
    <row r="70" spans="1:18" x14ac:dyDescent="0.3">
      <c r="A70" s="2" t="str">
        <f t="shared" si="2"/>
        <v>生命科學暨生物科技學系</v>
      </c>
      <c r="B70" s="2" t="str">
        <f>"0083B032"</f>
        <v>0083B032</v>
      </c>
      <c r="C70" s="2" t="str">
        <f>"林宣佑"</f>
        <v>林宣佑</v>
      </c>
      <c r="R70" s="2">
        <f t="shared" si="3"/>
        <v>0</v>
      </c>
    </row>
    <row r="71" spans="1:18" x14ac:dyDescent="0.3">
      <c r="A71" s="2" t="str">
        <f t="shared" si="2"/>
        <v>生命科學暨生物科技學系</v>
      </c>
      <c r="B71" s="2" t="str">
        <f>"0083B033"</f>
        <v>0083B033</v>
      </c>
      <c r="C71" s="2" t="str">
        <f>"邱婷涓"</f>
        <v>邱婷涓</v>
      </c>
      <c r="R71" s="2">
        <f t="shared" si="3"/>
        <v>0</v>
      </c>
    </row>
    <row r="72" spans="1:18" x14ac:dyDescent="0.3">
      <c r="A72" s="2" t="str">
        <f t="shared" si="2"/>
        <v>生命科學暨生物科技學系</v>
      </c>
      <c r="B72" s="2" t="str">
        <f>"0083B034"</f>
        <v>0083B034</v>
      </c>
      <c r="C72" s="2" t="str">
        <f>"陳玥頤"</f>
        <v>陳玥頤</v>
      </c>
      <c r="R72" s="2">
        <f t="shared" si="3"/>
        <v>0</v>
      </c>
    </row>
    <row r="73" spans="1:18" x14ac:dyDescent="0.3">
      <c r="A73" s="2" t="str">
        <f t="shared" si="2"/>
        <v>生命科學暨生物科技學系</v>
      </c>
      <c r="B73" s="2" t="str">
        <f>"0083B035"</f>
        <v>0083B035</v>
      </c>
      <c r="C73" s="2" t="str">
        <f>"林東英"</f>
        <v>林東英</v>
      </c>
      <c r="R73" s="2">
        <f t="shared" si="3"/>
        <v>0</v>
      </c>
    </row>
    <row r="74" spans="1:18" x14ac:dyDescent="0.3">
      <c r="A74" s="2" t="str">
        <f t="shared" si="2"/>
        <v>生命科學暨生物科技學系</v>
      </c>
      <c r="B74" s="2" t="str">
        <f>"0083B036"</f>
        <v>0083B036</v>
      </c>
      <c r="C74" s="2" t="str">
        <f>"廖聲維"</f>
        <v>廖聲維</v>
      </c>
      <c r="R74" s="2">
        <f t="shared" si="3"/>
        <v>0</v>
      </c>
    </row>
    <row r="75" spans="1:18" x14ac:dyDescent="0.3">
      <c r="A75" s="2" t="str">
        <f t="shared" si="2"/>
        <v>生命科學暨生物科技學系</v>
      </c>
      <c r="B75" s="2" t="str">
        <f>"0083B037"</f>
        <v>0083B037</v>
      </c>
      <c r="C75" s="2" t="str">
        <f>"陳勤惠"</f>
        <v>陳勤惠</v>
      </c>
      <c r="R75" s="2">
        <f t="shared" si="3"/>
        <v>0</v>
      </c>
    </row>
    <row r="76" spans="1:18" x14ac:dyDescent="0.3">
      <c r="A76" s="2" t="str">
        <f t="shared" si="2"/>
        <v>生命科學暨生物科技學系</v>
      </c>
      <c r="B76" s="2" t="str">
        <f>"0083B038"</f>
        <v>0083B038</v>
      </c>
      <c r="C76" s="2" t="str">
        <f>"周庭妤"</f>
        <v>周庭妤</v>
      </c>
      <c r="R76" s="2">
        <f t="shared" si="3"/>
        <v>0</v>
      </c>
    </row>
    <row r="77" spans="1:18" x14ac:dyDescent="0.3">
      <c r="A77" s="2" t="str">
        <f t="shared" si="2"/>
        <v>生命科學暨生物科技學系</v>
      </c>
      <c r="B77" s="2" t="str">
        <f>"0083B039"</f>
        <v>0083B039</v>
      </c>
      <c r="C77" s="2" t="str">
        <f>"陳柏叡"</f>
        <v>陳柏叡</v>
      </c>
      <c r="R77" s="2">
        <f t="shared" si="3"/>
        <v>0</v>
      </c>
    </row>
    <row r="78" spans="1:18" x14ac:dyDescent="0.3">
      <c r="A78" s="2" t="str">
        <f t="shared" si="2"/>
        <v>生命科學暨生物科技學系</v>
      </c>
      <c r="B78" s="2" t="str">
        <f>"0083B040"</f>
        <v>0083B040</v>
      </c>
      <c r="C78" s="2" t="str">
        <f>"曾柏凱"</f>
        <v>曾柏凱</v>
      </c>
      <c r="R78" s="2">
        <f t="shared" si="3"/>
        <v>0</v>
      </c>
    </row>
    <row r="79" spans="1:18" x14ac:dyDescent="0.3">
      <c r="A79" s="2" t="str">
        <f t="shared" si="2"/>
        <v>生命科學暨生物科技學系</v>
      </c>
      <c r="B79" s="2" t="str">
        <f>"0083B041"</f>
        <v>0083B041</v>
      </c>
      <c r="C79" s="2" t="str">
        <f>"劉耀鈞"</f>
        <v>劉耀鈞</v>
      </c>
      <c r="R79" s="2">
        <f t="shared" si="3"/>
        <v>0</v>
      </c>
    </row>
    <row r="80" spans="1:18" x14ac:dyDescent="0.3">
      <c r="A80" s="2" t="str">
        <f t="shared" si="2"/>
        <v>生命科學暨生物科技學系</v>
      </c>
      <c r="B80" s="2" t="str">
        <f>"0083B042"</f>
        <v>0083B042</v>
      </c>
      <c r="C80" s="2" t="str">
        <f>"黃貴湘"</f>
        <v>黃貴湘</v>
      </c>
      <c r="R80" s="2">
        <f t="shared" si="3"/>
        <v>0</v>
      </c>
    </row>
    <row r="81" spans="1:18" x14ac:dyDescent="0.3">
      <c r="A81" s="2" t="str">
        <f t="shared" si="2"/>
        <v>生命科學暨生物科技學系</v>
      </c>
      <c r="B81" s="2" t="str">
        <f>"0083B043"</f>
        <v>0083B043</v>
      </c>
      <c r="C81" s="2" t="str">
        <f>"黃琮富"</f>
        <v>黃琮富</v>
      </c>
      <c r="R81" s="2">
        <f t="shared" si="3"/>
        <v>0</v>
      </c>
    </row>
    <row r="82" spans="1:18" x14ac:dyDescent="0.3">
      <c r="A82" s="2" t="str">
        <f t="shared" si="2"/>
        <v>生命科學暨生物科技學系</v>
      </c>
      <c r="B82" s="2" t="str">
        <f>"0083B044"</f>
        <v>0083B044</v>
      </c>
      <c r="C82" s="2" t="str">
        <f>"黃怡瑄"</f>
        <v>黃怡瑄</v>
      </c>
      <c r="R82" s="2">
        <f t="shared" si="3"/>
        <v>0</v>
      </c>
    </row>
    <row r="83" spans="1:18" x14ac:dyDescent="0.3">
      <c r="A83" s="2" t="str">
        <f t="shared" si="2"/>
        <v>生命科學暨生物科技學系</v>
      </c>
      <c r="B83" s="2" t="str">
        <f>"0083B045"</f>
        <v>0083B045</v>
      </c>
      <c r="C83" s="2" t="str">
        <f>"鄭禮明"</f>
        <v>鄭禮明</v>
      </c>
      <c r="R83" s="2">
        <f t="shared" si="3"/>
        <v>0</v>
      </c>
    </row>
    <row r="84" spans="1:18" x14ac:dyDescent="0.3">
      <c r="A84" s="2" t="str">
        <f t="shared" si="2"/>
        <v>生命科學暨生物科技學系</v>
      </c>
      <c r="B84" s="2" t="str">
        <f>"0083B046"</f>
        <v>0083B046</v>
      </c>
      <c r="C84" s="2" t="str">
        <f>"黃曉康"</f>
        <v>黃曉康</v>
      </c>
      <c r="R84" s="2">
        <f t="shared" si="3"/>
        <v>0</v>
      </c>
    </row>
    <row r="85" spans="1:18" x14ac:dyDescent="0.3">
      <c r="A85" s="2" t="str">
        <f t="shared" si="2"/>
        <v>生命科學暨生物科技學系</v>
      </c>
      <c r="B85" s="2" t="str">
        <f>"0083B047"</f>
        <v>0083B047</v>
      </c>
      <c r="C85" s="2" t="str">
        <f>"郭靖言"</f>
        <v>郭靖言</v>
      </c>
      <c r="R85" s="2">
        <f t="shared" si="3"/>
        <v>0</v>
      </c>
    </row>
    <row r="86" spans="1:18" x14ac:dyDescent="0.3">
      <c r="A86" s="2" t="str">
        <f t="shared" si="2"/>
        <v>生命科學暨生物科技學系</v>
      </c>
      <c r="B86" s="2" t="str">
        <f>"0083B203"</f>
        <v>0083B203</v>
      </c>
      <c r="C86" s="2" t="s">
        <v>74</v>
      </c>
      <c r="E86" s="2">
        <v>1</v>
      </c>
      <c r="F86" s="2">
        <v>1</v>
      </c>
      <c r="G86" s="2">
        <v>1</v>
      </c>
      <c r="H86" s="2">
        <v>1</v>
      </c>
      <c r="K86" s="2">
        <v>1</v>
      </c>
      <c r="R86" s="2">
        <f t="shared" si="3"/>
        <v>5</v>
      </c>
    </row>
    <row r="87" spans="1:18" x14ac:dyDescent="0.3">
      <c r="A87" s="2" t="str">
        <f t="shared" si="2"/>
        <v>生命科學暨生物科技學系</v>
      </c>
      <c r="B87" s="2" t="str">
        <f>"0083B201"</f>
        <v>0083B201</v>
      </c>
      <c r="C87" s="2" t="s">
        <v>75</v>
      </c>
      <c r="G87" s="2">
        <v>1</v>
      </c>
      <c r="H87" s="2">
        <v>1</v>
      </c>
      <c r="K87" s="2">
        <v>1</v>
      </c>
      <c r="R87" s="2">
        <f t="shared" si="3"/>
        <v>3</v>
      </c>
    </row>
    <row r="88" spans="1:18" x14ac:dyDescent="0.3">
      <c r="R88" s="2">
        <f t="shared" si="3"/>
        <v>0</v>
      </c>
    </row>
    <row r="95" spans="1:18" x14ac:dyDescent="0.3">
      <c r="A95" s="2" t="s">
        <v>0</v>
      </c>
      <c r="B95" s="2" t="s">
        <v>1</v>
      </c>
      <c r="C95" s="2" t="s">
        <v>2</v>
      </c>
      <c r="D95" s="3" t="s">
        <v>18</v>
      </c>
      <c r="E95" s="4" t="s">
        <v>19</v>
      </c>
      <c r="F95" s="4" t="s">
        <v>31</v>
      </c>
      <c r="G95" s="4" t="s">
        <v>20</v>
      </c>
      <c r="H95" s="4" t="s">
        <v>21</v>
      </c>
      <c r="I95" s="4" t="s">
        <v>22</v>
      </c>
      <c r="J95" s="4" t="s">
        <v>23</v>
      </c>
      <c r="K95" s="4" t="s">
        <v>24</v>
      </c>
      <c r="L95" s="4" t="s">
        <v>25</v>
      </c>
      <c r="M95" s="4" t="s">
        <v>26</v>
      </c>
      <c r="N95" s="4" t="s">
        <v>27</v>
      </c>
      <c r="O95" s="4" t="s">
        <v>28</v>
      </c>
      <c r="P95" s="4" t="s">
        <v>29</v>
      </c>
      <c r="Q95" s="4" t="s">
        <v>30</v>
      </c>
      <c r="R95" s="1" t="s">
        <v>3</v>
      </c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&amp;C1081化學補強教學出席率登記本</oddHeader>
    <oddFooter>&amp;A&amp;R第 &amp;P 頁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16"/>
  <sheetViews>
    <sheetView view="pageLayout" topLeftCell="A101" zoomScale="98" zoomScaleNormal="100" zoomScalePageLayoutView="98" workbookViewId="0">
      <selection activeCell="A3" sqref="A3:R115"/>
    </sheetView>
  </sheetViews>
  <sheetFormatPr defaultColWidth="8.77734375" defaultRowHeight="16.2" x14ac:dyDescent="0.3"/>
  <cols>
    <col min="1" max="1" width="6.109375" style="2" customWidth="1"/>
    <col min="2" max="2" width="8.77734375" style="2"/>
    <col min="3" max="3" width="8" style="2" customWidth="1"/>
    <col min="4" max="18" width="4.6640625" style="2" customWidth="1"/>
    <col min="19" max="16384" width="8.77734375" style="2"/>
  </cols>
  <sheetData>
    <row r="2" spans="1:18" x14ac:dyDescent="0.3">
      <c r="A2" s="2" t="s">
        <v>0</v>
      </c>
      <c r="B2" s="2" t="s">
        <v>1</v>
      </c>
      <c r="C2" s="2" t="s">
        <v>2</v>
      </c>
      <c r="D2" s="3" t="s">
        <v>18</v>
      </c>
      <c r="E2" s="4" t="s">
        <v>19</v>
      </c>
      <c r="F2" s="4" t="s">
        <v>31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 t="s">
        <v>27</v>
      </c>
      <c r="O2" s="4" t="s">
        <v>28</v>
      </c>
      <c r="P2" s="4" t="s">
        <v>29</v>
      </c>
      <c r="Q2" s="4" t="s">
        <v>30</v>
      </c>
      <c r="R2" s="1" t="s">
        <v>3</v>
      </c>
    </row>
    <row r="3" spans="1:18" x14ac:dyDescent="0.3">
      <c r="A3" s="2" t="str">
        <f>"海洋環境資訊系"</f>
        <v>海洋環境資訊系</v>
      </c>
      <c r="B3" s="2" t="str">
        <f>"00681022"</f>
        <v>00681022</v>
      </c>
      <c r="C3" s="2" t="str">
        <f>"吳少白"</f>
        <v>吳少白</v>
      </c>
      <c r="R3" s="2">
        <f>SUM(D3:Q3)</f>
        <v>0</v>
      </c>
    </row>
    <row r="4" spans="1:18" x14ac:dyDescent="0.3">
      <c r="A4" s="2" t="str">
        <f>"海洋環境資訊系"</f>
        <v>海洋環境資訊系</v>
      </c>
      <c r="B4" s="2" t="str">
        <f>"00681027"</f>
        <v>00681027</v>
      </c>
      <c r="C4" s="2" t="str">
        <f>"吳庭葦"</f>
        <v>吳庭葦</v>
      </c>
      <c r="R4" s="2">
        <f t="shared" ref="R4:R67" si="0">SUM(D4:Q4)</f>
        <v>0</v>
      </c>
    </row>
    <row r="5" spans="1:18" x14ac:dyDescent="0.3">
      <c r="A5" s="2" t="str">
        <f t="shared" ref="A5:A58" si="1">"環境生物與漁業科學學系"</f>
        <v>環境生物與漁業科學學系</v>
      </c>
      <c r="B5" s="2" t="str">
        <f>"00831001"</f>
        <v>00831001</v>
      </c>
      <c r="C5" s="2" t="str">
        <f>"萬江劭哲"</f>
        <v>萬江劭哲</v>
      </c>
      <c r="R5" s="2">
        <f t="shared" si="0"/>
        <v>0</v>
      </c>
    </row>
    <row r="6" spans="1:18" x14ac:dyDescent="0.3">
      <c r="A6" s="2" t="str">
        <f t="shared" si="1"/>
        <v>環境生物與漁業科學學系</v>
      </c>
      <c r="B6" s="2" t="str">
        <f>"00831002"</f>
        <v>00831002</v>
      </c>
      <c r="C6" s="2" t="str">
        <f>"陳泓廷"</f>
        <v>陳泓廷</v>
      </c>
      <c r="F6" s="2">
        <v>1</v>
      </c>
      <c r="R6" s="2">
        <f t="shared" si="0"/>
        <v>1</v>
      </c>
    </row>
    <row r="7" spans="1:18" x14ac:dyDescent="0.3">
      <c r="A7" s="2" t="str">
        <f t="shared" si="1"/>
        <v>環境生物與漁業科學學系</v>
      </c>
      <c r="B7" s="2" t="str">
        <f>"00831003"</f>
        <v>00831003</v>
      </c>
      <c r="C7" s="2" t="str">
        <f>"李易倫"</f>
        <v>李易倫</v>
      </c>
      <c r="F7" s="2">
        <v>1</v>
      </c>
      <c r="G7" s="2">
        <v>1</v>
      </c>
      <c r="M7" s="2">
        <v>1</v>
      </c>
      <c r="R7" s="2">
        <f t="shared" si="0"/>
        <v>3</v>
      </c>
    </row>
    <row r="8" spans="1:18" x14ac:dyDescent="0.3">
      <c r="A8" s="2" t="str">
        <f t="shared" si="1"/>
        <v>環境生物與漁業科學學系</v>
      </c>
      <c r="B8" s="2" t="str">
        <f>"00831004"</f>
        <v>00831004</v>
      </c>
      <c r="C8" s="2" t="str">
        <f>"翁語謙"</f>
        <v>翁語謙</v>
      </c>
      <c r="E8" s="2">
        <v>1</v>
      </c>
      <c r="I8" s="2">
        <v>1</v>
      </c>
      <c r="R8" s="2">
        <f t="shared" si="0"/>
        <v>2</v>
      </c>
    </row>
    <row r="9" spans="1:18" x14ac:dyDescent="0.3">
      <c r="A9" s="2" t="str">
        <f t="shared" si="1"/>
        <v>環境生物與漁業科學學系</v>
      </c>
      <c r="B9" s="2" t="str">
        <f>"00831005"</f>
        <v>00831005</v>
      </c>
      <c r="C9" s="2" t="str">
        <f>"楊茹荃"</f>
        <v>楊茹荃</v>
      </c>
      <c r="R9" s="2">
        <f t="shared" si="0"/>
        <v>0</v>
      </c>
    </row>
    <row r="10" spans="1:18" x14ac:dyDescent="0.3">
      <c r="A10" s="2" t="str">
        <f t="shared" si="1"/>
        <v>環境生物與漁業科學學系</v>
      </c>
      <c r="B10" s="2" t="str">
        <f>"00831006"</f>
        <v>00831006</v>
      </c>
      <c r="C10" s="2" t="str">
        <f>"戴維明"</f>
        <v>戴維明</v>
      </c>
      <c r="R10" s="2">
        <f t="shared" si="0"/>
        <v>0</v>
      </c>
    </row>
    <row r="11" spans="1:18" x14ac:dyDescent="0.3">
      <c r="A11" s="2" t="str">
        <f t="shared" si="1"/>
        <v>環境生物與漁業科學學系</v>
      </c>
      <c r="B11" s="2" t="str">
        <f>"00831007"</f>
        <v>00831007</v>
      </c>
      <c r="C11" s="2" t="str">
        <f>"李?東"</f>
        <v>李?東</v>
      </c>
      <c r="I11" s="2">
        <v>1</v>
      </c>
      <c r="R11" s="2">
        <f t="shared" si="0"/>
        <v>1</v>
      </c>
    </row>
    <row r="12" spans="1:18" x14ac:dyDescent="0.3">
      <c r="A12" s="2" t="str">
        <f t="shared" si="1"/>
        <v>環境生物與漁業科學學系</v>
      </c>
      <c r="B12" s="2" t="str">
        <f>"00831008"</f>
        <v>00831008</v>
      </c>
      <c r="C12" s="2" t="str">
        <f>"廖哲宏"</f>
        <v>廖哲宏</v>
      </c>
      <c r="R12" s="2">
        <f t="shared" si="0"/>
        <v>0</v>
      </c>
    </row>
    <row r="13" spans="1:18" x14ac:dyDescent="0.3">
      <c r="A13" s="2" t="str">
        <f t="shared" si="1"/>
        <v>環境生物與漁業科學學系</v>
      </c>
      <c r="B13" s="2" t="str">
        <f>"00831009"</f>
        <v>00831009</v>
      </c>
      <c r="C13" s="2" t="str">
        <f>"何承蓁"</f>
        <v>何承蓁</v>
      </c>
      <c r="F13" s="2">
        <v>1</v>
      </c>
      <c r="H13" s="2">
        <v>1</v>
      </c>
      <c r="L13" s="2">
        <v>1</v>
      </c>
      <c r="P13" s="2">
        <v>1</v>
      </c>
      <c r="R13" s="2">
        <f t="shared" si="0"/>
        <v>4</v>
      </c>
    </row>
    <row r="14" spans="1:18" x14ac:dyDescent="0.3">
      <c r="A14" s="2" t="str">
        <f t="shared" si="1"/>
        <v>環境生物與漁業科學學系</v>
      </c>
      <c r="B14" s="2" t="str">
        <f>"00831010"</f>
        <v>00831010</v>
      </c>
      <c r="C14" s="2" t="str">
        <f>"鄧宜甄"</f>
        <v>鄧宜甄</v>
      </c>
      <c r="R14" s="2">
        <f t="shared" si="0"/>
        <v>0</v>
      </c>
    </row>
    <row r="15" spans="1:18" x14ac:dyDescent="0.3">
      <c r="A15" s="2" t="str">
        <f t="shared" si="1"/>
        <v>環境生物與漁業科學學系</v>
      </c>
      <c r="B15" s="2" t="str">
        <f>"00831011"</f>
        <v>00831011</v>
      </c>
      <c r="C15" s="2" t="str">
        <f>"郭瀚祥"</f>
        <v>郭瀚祥</v>
      </c>
      <c r="E15" s="2">
        <v>1</v>
      </c>
      <c r="R15" s="2">
        <f t="shared" si="0"/>
        <v>1</v>
      </c>
    </row>
    <row r="16" spans="1:18" x14ac:dyDescent="0.3">
      <c r="A16" s="2" t="str">
        <f t="shared" si="1"/>
        <v>環境生物與漁業科學學系</v>
      </c>
      <c r="B16" s="2" t="str">
        <f>"00831012"</f>
        <v>00831012</v>
      </c>
      <c r="C16" s="2" t="str">
        <f>"李旻妍"</f>
        <v>李旻妍</v>
      </c>
      <c r="R16" s="2">
        <f t="shared" si="0"/>
        <v>0</v>
      </c>
    </row>
    <row r="17" spans="1:18" x14ac:dyDescent="0.3">
      <c r="A17" s="2" t="str">
        <f t="shared" si="1"/>
        <v>環境生物與漁業科學學系</v>
      </c>
      <c r="B17" s="2" t="str">
        <f>"00831013"</f>
        <v>00831013</v>
      </c>
      <c r="C17" s="2" t="str">
        <f>"蘇正晨"</f>
        <v>蘇正晨</v>
      </c>
      <c r="R17" s="2">
        <f t="shared" si="0"/>
        <v>0</v>
      </c>
    </row>
    <row r="18" spans="1:18" x14ac:dyDescent="0.3">
      <c r="A18" s="2" t="str">
        <f t="shared" si="1"/>
        <v>環境生物與漁業科學學系</v>
      </c>
      <c r="B18" s="2" t="str">
        <f>"00831014"</f>
        <v>00831014</v>
      </c>
      <c r="C18" s="2" t="str">
        <f>"王廷安"</f>
        <v>王廷安</v>
      </c>
      <c r="R18" s="2">
        <f t="shared" si="0"/>
        <v>0</v>
      </c>
    </row>
    <row r="19" spans="1:18" x14ac:dyDescent="0.3">
      <c r="A19" s="2" t="str">
        <f t="shared" si="1"/>
        <v>環境生物與漁業科學學系</v>
      </c>
      <c r="B19" s="2" t="str">
        <f>"00831015"</f>
        <v>00831015</v>
      </c>
      <c r="C19" s="2" t="str">
        <f>"朱柏宣"</f>
        <v>朱柏宣</v>
      </c>
      <c r="I19" s="2">
        <v>1</v>
      </c>
      <c r="M19" s="2">
        <v>1</v>
      </c>
      <c r="R19" s="2">
        <f t="shared" si="0"/>
        <v>2</v>
      </c>
    </row>
    <row r="20" spans="1:18" x14ac:dyDescent="0.3">
      <c r="A20" s="2" t="str">
        <f t="shared" si="1"/>
        <v>環境生物與漁業科學學系</v>
      </c>
      <c r="B20" s="2" t="str">
        <f>"00831016"</f>
        <v>00831016</v>
      </c>
      <c r="C20" s="2" t="str">
        <f>"黃子傑"</f>
        <v>黃子傑</v>
      </c>
      <c r="R20" s="2">
        <f t="shared" si="0"/>
        <v>0</v>
      </c>
    </row>
    <row r="21" spans="1:18" x14ac:dyDescent="0.3">
      <c r="A21" s="2" t="str">
        <f t="shared" si="1"/>
        <v>環境生物與漁業科學學系</v>
      </c>
      <c r="B21" s="2" t="str">
        <f>"00831017"</f>
        <v>00831017</v>
      </c>
      <c r="C21" s="2" t="str">
        <f>"邵子軒"</f>
        <v>邵子軒</v>
      </c>
      <c r="E21" s="2">
        <v>1</v>
      </c>
      <c r="R21" s="2">
        <f t="shared" si="0"/>
        <v>1</v>
      </c>
    </row>
    <row r="22" spans="1:18" x14ac:dyDescent="0.3">
      <c r="A22" s="2" t="str">
        <f t="shared" si="1"/>
        <v>環境生物與漁業科學學系</v>
      </c>
      <c r="B22" s="2" t="str">
        <f>"00831018"</f>
        <v>00831018</v>
      </c>
      <c r="C22" s="2" t="str">
        <f>"王佳樺"</f>
        <v>王佳樺</v>
      </c>
      <c r="R22" s="2">
        <f t="shared" si="0"/>
        <v>0</v>
      </c>
    </row>
    <row r="23" spans="1:18" x14ac:dyDescent="0.3">
      <c r="A23" s="2" t="str">
        <f t="shared" si="1"/>
        <v>環境生物與漁業科學學系</v>
      </c>
      <c r="B23" s="2" t="str">
        <f>"00831019"</f>
        <v>00831019</v>
      </c>
      <c r="C23" s="2" t="str">
        <f>"曾宥誠"</f>
        <v>曾宥誠</v>
      </c>
      <c r="E23" s="2">
        <v>1</v>
      </c>
      <c r="I23" s="2">
        <v>1</v>
      </c>
      <c r="R23" s="2">
        <f t="shared" si="0"/>
        <v>2</v>
      </c>
    </row>
    <row r="24" spans="1:18" x14ac:dyDescent="0.3">
      <c r="A24" s="2" t="str">
        <f t="shared" si="1"/>
        <v>環境生物與漁業科學學系</v>
      </c>
      <c r="B24" s="2" t="str">
        <f>"00831020"</f>
        <v>00831020</v>
      </c>
      <c r="C24" s="2" t="str">
        <f>"李冠翰"</f>
        <v>李冠翰</v>
      </c>
      <c r="R24" s="2">
        <f t="shared" si="0"/>
        <v>0</v>
      </c>
    </row>
    <row r="25" spans="1:18" x14ac:dyDescent="0.3">
      <c r="A25" s="2" t="str">
        <f t="shared" si="1"/>
        <v>環境生物與漁業科學學系</v>
      </c>
      <c r="B25" s="2" t="str">
        <f>"00831021"</f>
        <v>00831021</v>
      </c>
      <c r="C25" s="2" t="str">
        <f>"林辰澔"</f>
        <v>林辰澔</v>
      </c>
      <c r="M25" s="2">
        <v>1</v>
      </c>
      <c r="R25" s="2">
        <f t="shared" si="0"/>
        <v>1</v>
      </c>
    </row>
    <row r="26" spans="1:18" x14ac:dyDescent="0.3">
      <c r="A26" s="2" t="str">
        <f t="shared" si="1"/>
        <v>環境生物與漁業科學學系</v>
      </c>
      <c r="B26" s="2" t="str">
        <f>"00831022"</f>
        <v>00831022</v>
      </c>
      <c r="C26" s="2" t="str">
        <f>"邱諺柏"</f>
        <v>邱諺柏</v>
      </c>
      <c r="R26" s="2">
        <f t="shared" si="0"/>
        <v>0</v>
      </c>
    </row>
    <row r="27" spans="1:18" x14ac:dyDescent="0.3">
      <c r="A27" s="2" t="str">
        <f t="shared" si="1"/>
        <v>環境生物與漁業科學學系</v>
      </c>
      <c r="B27" s="2" t="str">
        <f>"00831023"</f>
        <v>00831023</v>
      </c>
      <c r="C27" s="2" t="str">
        <f>"黃柏翰"</f>
        <v>黃柏翰</v>
      </c>
      <c r="R27" s="2">
        <f t="shared" si="0"/>
        <v>0</v>
      </c>
    </row>
    <row r="28" spans="1:18" x14ac:dyDescent="0.3">
      <c r="A28" s="2" t="str">
        <f t="shared" si="1"/>
        <v>環境生物與漁業科學學系</v>
      </c>
      <c r="B28" s="2" t="str">
        <f>"00831024"</f>
        <v>00831024</v>
      </c>
      <c r="C28" s="2" t="str">
        <f>"巫政樺"</f>
        <v>巫政樺</v>
      </c>
      <c r="R28" s="2">
        <f t="shared" si="0"/>
        <v>0</v>
      </c>
    </row>
    <row r="29" spans="1:18" x14ac:dyDescent="0.3">
      <c r="A29" s="2" t="str">
        <f t="shared" si="1"/>
        <v>環境生物與漁業科學學系</v>
      </c>
      <c r="B29" s="2" t="str">
        <f>"00831025"</f>
        <v>00831025</v>
      </c>
      <c r="C29" s="2" t="str">
        <f>"邱乙玲"</f>
        <v>邱乙玲</v>
      </c>
      <c r="R29" s="2">
        <f t="shared" si="0"/>
        <v>0</v>
      </c>
    </row>
    <row r="30" spans="1:18" x14ac:dyDescent="0.3">
      <c r="A30" s="2" t="str">
        <f t="shared" si="1"/>
        <v>環境生物與漁業科學學系</v>
      </c>
      <c r="B30" s="2" t="str">
        <f>"00831026"</f>
        <v>00831026</v>
      </c>
      <c r="C30" s="2" t="str">
        <f>"汪恆駿"</f>
        <v>汪恆駿</v>
      </c>
      <c r="R30" s="2">
        <f t="shared" si="0"/>
        <v>0</v>
      </c>
    </row>
    <row r="31" spans="1:18" x14ac:dyDescent="0.3">
      <c r="A31" s="2" t="str">
        <f t="shared" si="1"/>
        <v>環境生物與漁業科學學系</v>
      </c>
      <c r="B31" s="2" t="str">
        <f>"00831027"</f>
        <v>00831027</v>
      </c>
      <c r="C31" s="2" t="str">
        <f>"王昱蓁"</f>
        <v>王昱蓁</v>
      </c>
      <c r="E31" s="2">
        <v>1</v>
      </c>
      <c r="G31" s="2">
        <v>1</v>
      </c>
      <c r="K31" s="2">
        <v>1</v>
      </c>
      <c r="O31" s="2">
        <v>1</v>
      </c>
      <c r="R31" s="2">
        <f t="shared" si="0"/>
        <v>4</v>
      </c>
    </row>
    <row r="32" spans="1:18" x14ac:dyDescent="0.3">
      <c r="A32" s="2" t="str">
        <f t="shared" si="1"/>
        <v>環境生物與漁業科學學系</v>
      </c>
      <c r="B32" s="2" t="str">
        <f>"00831028"</f>
        <v>00831028</v>
      </c>
      <c r="C32" s="2" t="str">
        <f>"楊景全"</f>
        <v>楊景全</v>
      </c>
      <c r="R32" s="2">
        <f t="shared" si="0"/>
        <v>0</v>
      </c>
    </row>
    <row r="33" spans="1:18" x14ac:dyDescent="0.3">
      <c r="A33" s="2" t="str">
        <f t="shared" si="1"/>
        <v>環境生物與漁業科學學系</v>
      </c>
      <c r="B33" s="2" t="str">
        <f>"00831029"</f>
        <v>00831029</v>
      </c>
      <c r="C33" s="2" t="str">
        <f>"陳東楷"</f>
        <v>陳東楷</v>
      </c>
      <c r="R33" s="2">
        <f t="shared" si="0"/>
        <v>0</v>
      </c>
    </row>
    <row r="34" spans="1:18" x14ac:dyDescent="0.3">
      <c r="A34" s="2" t="str">
        <f t="shared" si="1"/>
        <v>環境生物與漁業科學學系</v>
      </c>
      <c r="B34" s="2" t="str">
        <f>"00831030"</f>
        <v>00831030</v>
      </c>
      <c r="C34" s="2" t="str">
        <f>"邱韋豪"</f>
        <v>邱韋豪</v>
      </c>
      <c r="R34" s="2">
        <f t="shared" si="0"/>
        <v>0</v>
      </c>
    </row>
    <row r="35" spans="1:18" x14ac:dyDescent="0.3">
      <c r="A35" s="2" t="str">
        <f t="shared" si="1"/>
        <v>環境生物與漁業科學學系</v>
      </c>
      <c r="B35" s="2" t="str">
        <f>"00831031"</f>
        <v>00831031</v>
      </c>
      <c r="C35" s="2" t="str">
        <f>"蕭民煌"</f>
        <v>蕭民煌</v>
      </c>
      <c r="G35" s="2">
        <v>1</v>
      </c>
      <c r="M35" s="2">
        <v>1</v>
      </c>
      <c r="R35" s="2">
        <f t="shared" si="0"/>
        <v>2</v>
      </c>
    </row>
    <row r="36" spans="1:18" x14ac:dyDescent="0.3">
      <c r="A36" s="2" t="str">
        <f t="shared" si="1"/>
        <v>環境生物與漁業科學學系</v>
      </c>
      <c r="B36" s="2" t="str">
        <f>"00831032"</f>
        <v>00831032</v>
      </c>
      <c r="C36" s="2" t="str">
        <f>"周采妍"</f>
        <v>周采妍</v>
      </c>
      <c r="R36" s="2">
        <f t="shared" si="0"/>
        <v>0</v>
      </c>
    </row>
    <row r="37" spans="1:18" x14ac:dyDescent="0.3">
      <c r="A37" s="2" t="str">
        <f t="shared" si="1"/>
        <v>環境生物與漁業科學學系</v>
      </c>
      <c r="B37" s="2" t="str">
        <f>"00831033"</f>
        <v>00831033</v>
      </c>
      <c r="C37" s="2" t="str">
        <f>"廖霆霨"</f>
        <v>廖霆霨</v>
      </c>
      <c r="I37" s="2">
        <v>1</v>
      </c>
      <c r="R37" s="2">
        <f t="shared" si="0"/>
        <v>1</v>
      </c>
    </row>
    <row r="38" spans="1:18" x14ac:dyDescent="0.3">
      <c r="A38" s="2" t="str">
        <f t="shared" si="1"/>
        <v>環境生物與漁業科學學系</v>
      </c>
      <c r="B38" s="2" t="str">
        <f>"00831034"</f>
        <v>00831034</v>
      </c>
      <c r="C38" s="2" t="str">
        <f>"林家寬"</f>
        <v>林家寬</v>
      </c>
      <c r="R38" s="2">
        <f t="shared" si="0"/>
        <v>0</v>
      </c>
    </row>
    <row r="39" spans="1:18" x14ac:dyDescent="0.3">
      <c r="A39" s="2" t="str">
        <f t="shared" si="1"/>
        <v>環境生物與漁業科學學系</v>
      </c>
      <c r="B39" s="2" t="str">
        <f>"00831035"</f>
        <v>00831035</v>
      </c>
      <c r="C39" s="2" t="str">
        <f>"楊淨雯"</f>
        <v>楊淨雯</v>
      </c>
      <c r="R39" s="2">
        <f t="shared" si="0"/>
        <v>0</v>
      </c>
    </row>
    <row r="40" spans="1:18" x14ac:dyDescent="0.3">
      <c r="A40" s="2" t="str">
        <f t="shared" si="1"/>
        <v>環境生物與漁業科學學系</v>
      </c>
      <c r="B40" s="2" t="str">
        <f>"00831036"</f>
        <v>00831036</v>
      </c>
      <c r="C40" s="2" t="str">
        <f>"毛仕豪"</f>
        <v>毛仕豪</v>
      </c>
      <c r="R40" s="2">
        <f t="shared" si="0"/>
        <v>0</v>
      </c>
    </row>
    <row r="41" spans="1:18" x14ac:dyDescent="0.3">
      <c r="A41" s="2" t="str">
        <f t="shared" si="1"/>
        <v>環境生物與漁業科學學系</v>
      </c>
      <c r="B41" s="2" t="str">
        <f>"00831037"</f>
        <v>00831037</v>
      </c>
      <c r="C41" s="2" t="str">
        <f>"陳韋翔"</f>
        <v>陳韋翔</v>
      </c>
      <c r="R41" s="2">
        <f t="shared" si="0"/>
        <v>0</v>
      </c>
    </row>
    <row r="42" spans="1:18" x14ac:dyDescent="0.3">
      <c r="A42" s="2" t="str">
        <f t="shared" si="1"/>
        <v>環境生物與漁業科學學系</v>
      </c>
      <c r="B42" s="2" t="str">
        <f>"00831038"</f>
        <v>00831038</v>
      </c>
      <c r="C42" s="2" t="str">
        <f>"姜凱淇"</f>
        <v>姜凱淇</v>
      </c>
      <c r="R42" s="2">
        <f t="shared" si="0"/>
        <v>0</v>
      </c>
    </row>
    <row r="43" spans="1:18" x14ac:dyDescent="0.3">
      <c r="A43" s="2" t="str">
        <f t="shared" si="1"/>
        <v>環境生物與漁業科學學系</v>
      </c>
      <c r="B43" s="2" t="str">
        <f>"00831039"</f>
        <v>00831039</v>
      </c>
      <c r="C43" s="2" t="str">
        <f>"方柏淳"</f>
        <v>方柏淳</v>
      </c>
      <c r="F43" s="2">
        <v>1</v>
      </c>
      <c r="G43" s="2">
        <v>1</v>
      </c>
      <c r="R43" s="2">
        <f t="shared" si="0"/>
        <v>2</v>
      </c>
    </row>
    <row r="44" spans="1:18" x14ac:dyDescent="0.3">
      <c r="A44" s="2" t="str">
        <f t="shared" si="1"/>
        <v>環境生物與漁業科學學系</v>
      </c>
      <c r="B44" s="2" t="str">
        <f>"00831040"</f>
        <v>00831040</v>
      </c>
      <c r="C44" s="2" t="str">
        <f>"江承翰"</f>
        <v>江承翰</v>
      </c>
      <c r="R44" s="2">
        <f t="shared" si="0"/>
        <v>0</v>
      </c>
    </row>
    <row r="45" spans="1:18" x14ac:dyDescent="0.3">
      <c r="A45" s="2" t="str">
        <f t="shared" si="1"/>
        <v>環境生物與漁業科學學系</v>
      </c>
      <c r="B45" s="2" t="str">
        <f>"00831041"</f>
        <v>00831041</v>
      </c>
      <c r="C45" s="2" t="str">
        <f>"黃飛龍"</f>
        <v>黃飛龍</v>
      </c>
      <c r="R45" s="2">
        <f t="shared" si="0"/>
        <v>0</v>
      </c>
    </row>
    <row r="46" spans="1:18" x14ac:dyDescent="0.3">
      <c r="A46" s="2" t="str">
        <f t="shared" si="1"/>
        <v>環境生物與漁業科學學系</v>
      </c>
      <c r="B46" s="2" t="str">
        <f>"00831042"</f>
        <v>00831042</v>
      </c>
      <c r="C46" s="2" t="str">
        <f>"邱思惟"</f>
        <v>邱思惟</v>
      </c>
      <c r="I46" s="2">
        <v>1</v>
      </c>
      <c r="M46" s="2">
        <v>1</v>
      </c>
      <c r="Q46" s="2">
        <v>1</v>
      </c>
      <c r="R46" s="2">
        <f t="shared" si="0"/>
        <v>3</v>
      </c>
    </row>
    <row r="47" spans="1:18" x14ac:dyDescent="0.3">
      <c r="A47" s="2" t="str">
        <f t="shared" si="1"/>
        <v>環境生物與漁業科學學系</v>
      </c>
      <c r="B47" s="2" t="str">
        <f>"00831043"</f>
        <v>00831043</v>
      </c>
      <c r="C47" s="2" t="str">
        <f>"陳璟易"</f>
        <v>陳璟易</v>
      </c>
      <c r="F47" s="2">
        <v>1</v>
      </c>
      <c r="G47" s="2">
        <v>1</v>
      </c>
      <c r="M47" s="2">
        <v>1</v>
      </c>
      <c r="R47" s="2">
        <f t="shared" si="0"/>
        <v>3</v>
      </c>
    </row>
    <row r="48" spans="1:18" x14ac:dyDescent="0.3">
      <c r="A48" s="2" t="s">
        <v>0</v>
      </c>
      <c r="B48" s="2" t="s">
        <v>1</v>
      </c>
      <c r="C48" s="2" t="s">
        <v>2</v>
      </c>
      <c r="D48" s="3" t="s">
        <v>18</v>
      </c>
      <c r="E48" s="4" t="s">
        <v>19</v>
      </c>
      <c r="F48" s="4" t="s">
        <v>31</v>
      </c>
      <c r="G48" s="4" t="s">
        <v>20</v>
      </c>
      <c r="H48" s="4" t="s">
        <v>21</v>
      </c>
      <c r="I48" s="4" t="s">
        <v>22</v>
      </c>
      <c r="J48" s="4" t="s">
        <v>23</v>
      </c>
      <c r="K48" s="4" t="s">
        <v>24</v>
      </c>
      <c r="L48" s="4" t="s">
        <v>25</v>
      </c>
      <c r="M48" s="4" t="s">
        <v>26</v>
      </c>
      <c r="N48" s="4" t="s">
        <v>27</v>
      </c>
      <c r="O48" s="4" t="s">
        <v>28</v>
      </c>
      <c r="P48" s="4" t="s">
        <v>29</v>
      </c>
      <c r="Q48" s="4" t="s">
        <v>30</v>
      </c>
      <c r="R48" s="1" t="s">
        <v>3</v>
      </c>
    </row>
    <row r="49" spans="1:18" x14ac:dyDescent="0.3">
      <c r="A49" s="2" t="str">
        <f t="shared" si="1"/>
        <v>環境生物與漁業科學學系</v>
      </c>
      <c r="B49" s="2" t="str">
        <f>"00831044"</f>
        <v>00831044</v>
      </c>
      <c r="C49" s="2" t="str">
        <f>"陳奕凱"</f>
        <v>陳奕凱</v>
      </c>
      <c r="R49" s="2">
        <f t="shared" si="0"/>
        <v>0</v>
      </c>
    </row>
    <row r="50" spans="1:18" x14ac:dyDescent="0.3">
      <c r="A50" s="2" t="str">
        <f t="shared" si="1"/>
        <v>環境生物與漁業科學學系</v>
      </c>
      <c r="B50" s="2" t="str">
        <f>"00831045"</f>
        <v>00831045</v>
      </c>
      <c r="C50" s="2" t="str">
        <f>"黃意晅"</f>
        <v>黃意晅</v>
      </c>
      <c r="R50" s="2">
        <f t="shared" si="0"/>
        <v>0</v>
      </c>
    </row>
    <row r="51" spans="1:18" x14ac:dyDescent="0.3">
      <c r="A51" s="2" t="str">
        <f t="shared" si="1"/>
        <v>環境生物與漁業科學學系</v>
      </c>
      <c r="B51" s="2" t="str">
        <f>"00831046"</f>
        <v>00831046</v>
      </c>
      <c r="C51" s="2" t="str">
        <f>"陳凱霖"</f>
        <v>陳凱霖</v>
      </c>
      <c r="R51" s="2">
        <f t="shared" si="0"/>
        <v>0</v>
      </c>
    </row>
    <row r="52" spans="1:18" x14ac:dyDescent="0.3">
      <c r="A52" s="2" t="str">
        <f t="shared" si="1"/>
        <v>環境生物與漁業科學學系</v>
      </c>
      <c r="B52" s="2" t="str">
        <f>"00831047"</f>
        <v>00831047</v>
      </c>
      <c r="C52" s="2" t="str">
        <f>"彭瀚平"</f>
        <v>彭瀚平</v>
      </c>
      <c r="R52" s="2">
        <f t="shared" si="0"/>
        <v>0</v>
      </c>
    </row>
    <row r="53" spans="1:18" x14ac:dyDescent="0.3">
      <c r="A53" s="2" t="str">
        <f t="shared" si="1"/>
        <v>環境生物與漁業科學學系</v>
      </c>
      <c r="B53" s="2" t="str">
        <f>"00831048"</f>
        <v>00831048</v>
      </c>
      <c r="C53" s="2" t="str">
        <f>"沈育臻"</f>
        <v>沈育臻</v>
      </c>
      <c r="P53" s="2">
        <v>1</v>
      </c>
      <c r="R53" s="2">
        <f t="shared" si="0"/>
        <v>1</v>
      </c>
    </row>
    <row r="54" spans="1:18" x14ac:dyDescent="0.3">
      <c r="A54" s="2" t="str">
        <f t="shared" si="1"/>
        <v>環境生物與漁業科學學系</v>
      </c>
      <c r="B54" s="2" t="str">
        <f>"00831049"</f>
        <v>00831049</v>
      </c>
      <c r="C54" s="2" t="str">
        <f>"吳昀庭"</f>
        <v>吳昀庭</v>
      </c>
      <c r="R54" s="2">
        <f t="shared" si="0"/>
        <v>0</v>
      </c>
    </row>
    <row r="55" spans="1:18" x14ac:dyDescent="0.3">
      <c r="A55" s="2" t="str">
        <f t="shared" si="1"/>
        <v>環境生物與漁業科學學系</v>
      </c>
      <c r="B55" s="2" t="str">
        <f>"00831050"</f>
        <v>00831050</v>
      </c>
      <c r="C55" s="2" t="str">
        <f>"洪昊宇"</f>
        <v>洪昊宇</v>
      </c>
      <c r="R55" s="2">
        <f t="shared" si="0"/>
        <v>0</v>
      </c>
    </row>
    <row r="56" spans="1:18" x14ac:dyDescent="0.3">
      <c r="A56" s="2" t="str">
        <f t="shared" si="1"/>
        <v>環境生物與漁業科學學系</v>
      </c>
      <c r="B56" s="2" t="str">
        <f>"00831051"</f>
        <v>00831051</v>
      </c>
      <c r="C56" s="2" t="str">
        <f>"盧德滔"</f>
        <v>盧德滔</v>
      </c>
      <c r="R56" s="2">
        <f t="shared" si="0"/>
        <v>0</v>
      </c>
    </row>
    <row r="57" spans="1:18" x14ac:dyDescent="0.3">
      <c r="A57" s="2" t="str">
        <f t="shared" si="1"/>
        <v>環境生物與漁業科學學系</v>
      </c>
      <c r="B57" s="2" t="str">
        <f>"00831052"</f>
        <v>00831052</v>
      </c>
      <c r="C57" s="2" t="str">
        <f>"姚汛忻"</f>
        <v>姚汛忻</v>
      </c>
      <c r="R57" s="2">
        <f t="shared" si="0"/>
        <v>0</v>
      </c>
    </row>
    <row r="58" spans="1:18" x14ac:dyDescent="0.3">
      <c r="A58" s="2" t="str">
        <f t="shared" si="1"/>
        <v>環境生物與漁業科學學系</v>
      </c>
      <c r="B58" s="2" t="str">
        <f>"00831053"</f>
        <v>00831053</v>
      </c>
      <c r="C58" s="2" t="str">
        <f>"袁雯津"</f>
        <v>袁雯津</v>
      </c>
      <c r="R58" s="2">
        <f t="shared" si="0"/>
        <v>0</v>
      </c>
    </row>
    <row r="59" spans="1:18" x14ac:dyDescent="0.3">
      <c r="A59" s="2" t="str">
        <f t="shared" ref="A59:A112" si="2">"海洋環境資訊系"</f>
        <v>海洋環境資訊系</v>
      </c>
      <c r="B59" s="2" t="str">
        <f>"00881001"</f>
        <v>00881001</v>
      </c>
      <c r="C59" s="2" t="str">
        <f>"楊皓宇"</f>
        <v>楊皓宇</v>
      </c>
      <c r="R59" s="2">
        <f t="shared" si="0"/>
        <v>0</v>
      </c>
    </row>
    <row r="60" spans="1:18" x14ac:dyDescent="0.3">
      <c r="A60" s="2" t="str">
        <f t="shared" si="2"/>
        <v>海洋環境資訊系</v>
      </c>
      <c r="B60" s="2" t="str">
        <f>"00881002"</f>
        <v>00881002</v>
      </c>
      <c r="C60" s="2" t="str">
        <f>"周語謙"</f>
        <v>周語謙</v>
      </c>
      <c r="R60" s="2">
        <f t="shared" si="0"/>
        <v>0</v>
      </c>
    </row>
    <row r="61" spans="1:18" x14ac:dyDescent="0.3">
      <c r="A61" s="2" t="str">
        <f t="shared" si="2"/>
        <v>海洋環境資訊系</v>
      </c>
      <c r="B61" s="2" t="str">
        <f>"00881003"</f>
        <v>00881003</v>
      </c>
      <c r="C61" s="2" t="str">
        <f>"郭晉甫"</f>
        <v>郭晉甫</v>
      </c>
      <c r="R61" s="2">
        <f t="shared" si="0"/>
        <v>0</v>
      </c>
    </row>
    <row r="62" spans="1:18" x14ac:dyDescent="0.3">
      <c r="A62" s="2" t="str">
        <f t="shared" si="2"/>
        <v>海洋環境資訊系</v>
      </c>
      <c r="B62" s="2" t="str">
        <f>"00881004"</f>
        <v>00881004</v>
      </c>
      <c r="C62" s="2" t="str">
        <f>"簡佳宣"</f>
        <v>簡佳宣</v>
      </c>
      <c r="R62" s="2">
        <f t="shared" si="0"/>
        <v>0</v>
      </c>
    </row>
    <row r="63" spans="1:18" x14ac:dyDescent="0.3">
      <c r="A63" s="2" t="str">
        <f t="shared" si="2"/>
        <v>海洋環境資訊系</v>
      </c>
      <c r="B63" s="2" t="str">
        <f>"00881005"</f>
        <v>00881005</v>
      </c>
      <c r="C63" s="2" t="str">
        <f>"陳顗安"</f>
        <v>陳顗安</v>
      </c>
      <c r="R63" s="2">
        <f t="shared" si="0"/>
        <v>0</v>
      </c>
    </row>
    <row r="64" spans="1:18" x14ac:dyDescent="0.3">
      <c r="A64" s="2" t="str">
        <f t="shared" si="2"/>
        <v>海洋環境資訊系</v>
      </c>
      <c r="B64" s="2" t="str">
        <f>"00881006"</f>
        <v>00881006</v>
      </c>
      <c r="C64" s="2" t="str">
        <f>"陳啟元"</f>
        <v>陳啟元</v>
      </c>
      <c r="R64" s="2">
        <f t="shared" si="0"/>
        <v>0</v>
      </c>
    </row>
    <row r="65" spans="1:18" x14ac:dyDescent="0.3">
      <c r="A65" s="2" t="str">
        <f t="shared" si="2"/>
        <v>海洋環境資訊系</v>
      </c>
      <c r="B65" s="2" t="str">
        <f>"00881007"</f>
        <v>00881007</v>
      </c>
      <c r="C65" s="2" t="str">
        <f>"陳沛縈"</f>
        <v>陳沛縈</v>
      </c>
      <c r="R65" s="2">
        <f t="shared" si="0"/>
        <v>0</v>
      </c>
    </row>
    <row r="66" spans="1:18" x14ac:dyDescent="0.3">
      <c r="A66" s="2" t="str">
        <f t="shared" si="2"/>
        <v>海洋環境資訊系</v>
      </c>
      <c r="B66" s="2" t="str">
        <f>"00881008"</f>
        <v>00881008</v>
      </c>
      <c r="C66" s="2" t="str">
        <f>"陳郡緯"</f>
        <v>陳郡緯</v>
      </c>
      <c r="R66" s="2">
        <f t="shared" si="0"/>
        <v>0</v>
      </c>
    </row>
    <row r="67" spans="1:18" x14ac:dyDescent="0.3">
      <c r="A67" s="2" t="str">
        <f t="shared" si="2"/>
        <v>海洋環境資訊系</v>
      </c>
      <c r="B67" s="2" t="str">
        <f>"00881009"</f>
        <v>00881009</v>
      </c>
      <c r="C67" s="2" t="str">
        <f>"黃致筌"</f>
        <v>黃致筌</v>
      </c>
      <c r="R67" s="2">
        <f t="shared" si="0"/>
        <v>0</v>
      </c>
    </row>
    <row r="68" spans="1:18" x14ac:dyDescent="0.3">
      <c r="A68" s="2" t="str">
        <f t="shared" si="2"/>
        <v>海洋環境資訊系</v>
      </c>
      <c r="B68" s="2" t="str">
        <f>"00881010"</f>
        <v>00881010</v>
      </c>
      <c r="C68" s="2" t="str">
        <f>"黃昱翔"</f>
        <v>黃昱翔</v>
      </c>
      <c r="R68" s="2">
        <f t="shared" ref="R68:R116" si="3">SUM(D68:Q68)</f>
        <v>0</v>
      </c>
    </row>
    <row r="69" spans="1:18" x14ac:dyDescent="0.3">
      <c r="A69" s="2" t="str">
        <f t="shared" si="2"/>
        <v>海洋環境資訊系</v>
      </c>
      <c r="B69" s="2" t="str">
        <f>"00881011"</f>
        <v>00881011</v>
      </c>
      <c r="C69" s="2" t="str">
        <f>"康宇翔"</f>
        <v>康宇翔</v>
      </c>
      <c r="R69" s="2">
        <f t="shared" si="3"/>
        <v>0</v>
      </c>
    </row>
    <row r="70" spans="1:18" x14ac:dyDescent="0.3">
      <c r="A70" s="2" t="str">
        <f t="shared" si="2"/>
        <v>海洋環境資訊系</v>
      </c>
      <c r="B70" s="2" t="str">
        <f>"00881012"</f>
        <v>00881012</v>
      </c>
      <c r="C70" s="2" t="str">
        <f>"黃鈺淇"</f>
        <v>黃鈺淇</v>
      </c>
      <c r="R70" s="2">
        <f t="shared" si="3"/>
        <v>0</v>
      </c>
    </row>
    <row r="71" spans="1:18" x14ac:dyDescent="0.3">
      <c r="A71" s="2" t="str">
        <f t="shared" si="2"/>
        <v>海洋環境資訊系</v>
      </c>
      <c r="B71" s="2" t="str">
        <f>"00881013"</f>
        <v>00881013</v>
      </c>
      <c r="C71" s="2" t="str">
        <f>"蕭睦庭"</f>
        <v>蕭睦庭</v>
      </c>
      <c r="R71" s="2">
        <f t="shared" si="3"/>
        <v>0</v>
      </c>
    </row>
    <row r="72" spans="1:18" x14ac:dyDescent="0.3">
      <c r="A72" s="2" t="str">
        <f t="shared" si="2"/>
        <v>海洋環境資訊系</v>
      </c>
      <c r="B72" s="2" t="str">
        <f>"00881014"</f>
        <v>00881014</v>
      </c>
      <c r="C72" s="2" t="str">
        <f>"詹益銘"</f>
        <v>詹益銘</v>
      </c>
      <c r="R72" s="2">
        <f t="shared" si="3"/>
        <v>0</v>
      </c>
    </row>
    <row r="73" spans="1:18" x14ac:dyDescent="0.3">
      <c r="A73" s="2" t="str">
        <f t="shared" si="2"/>
        <v>海洋環境資訊系</v>
      </c>
      <c r="B73" s="2" t="str">
        <f>"00881015"</f>
        <v>00881015</v>
      </c>
      <c r="C73" s="2" t="str">
        <f>"陳慶澤"</f>
        <v>陳慶澤</v>
      </c>
      <c r="R73" s="2">
        <f t="shared" si="3"/>
        <v>0</v>
      </c>
    </row>
    <row r="74" spans="1:18" x14ac:dyDescent="0.3">
      <c r="A74" s="2" t="str">
        <f t="shared" si="2"/>
        <v>海洋環境資訊系</v>
      </c>
      <c r="B74" s="2" t="str">
        <f>"00881016"</f>
        <v>00881016</v>
      </c>
      <c r="C74" s="2" t="str">
        <f>"梁家紳"</f>
        <v>梁家紳</v>
      </c>
      <c r="R74" s="2">
        <f t="shared" si="3"/>
        <v>0</v>
      </c>
    </row>
    <row r="75" spans="1:18" x14ac:dyDescent="0.3">
      <c r="A75" s="2" t="str">
        <f t="shared" si="2"/>
        <v>海洋環境資訊系</v>
      </c>
      <c r="B75" s="2" t="str">
        <f>"00881017"</f>
        <v>00881017</v>
      </c>
      <c r="C75" s="2" t="str">
        <f>"黃郁涵"</f>
        <v>黃郁涵</v>
      </c>
      <c r="R75" s="2">
        <f t="shared" si="3"/>
        <v>0</v>
      </c>
    </row>
    <row r="76" spans="1:18" x14ac:dyDescent="0.3">
      <c r="A76" s="2" t="str">
        <f t="shared" si="2"/>
        <v>海洋環境資訊系</v>
      </c>
      <c r="B76" s="2" t="str">
        <f>"00881018"</f>
        <v>00881018</v>
      </c>
      <c r="C76" s="2" t="str">
        <f>"張欽達"</f>
        <v>張欽達</v>
      </c>
      <c r="R76" s="2">
        <f t="shared" si="3"/>
        <v>0</v>
      </c>
    </row>
    <row r="77" spans="1:18" x14ac:dyDescent="0.3">
      <c r="A77" s="2" t="str">
        <f t="shared" si="2"/>
        <v>海洋環境資訊系</v>
      </c>
      <c r="B77" s="2" t="str">
        <f>"00881019"</f>
        <v>00881019</v>
      </c>
      <c r="C77" s="2" t="str">
        <f>"林子耀"</f>
        <v>林子耀</v>
      </c>
      <c r="R77" s="2">
        <f t="shared" si="3"/>
        <v>0</v>
      </c>
    </row>
    <row r="78" spans="1:18" x14ac:dyDescent="0.3">
      <c r="A78" s="2" t="str">
        <f t="shared" si="2"/>
        <v>海洋環境資訊系</v>
      </c>
      <c r="B78" s="2" t="str">
        <f>"00881020"</f>
        <v>00881020</v>
      </c>
      <c r="C78" s="2" t="str">
        <f>"閻虹如"</f>
        <v>閻虹如</v>
      </c>
      <c r="J78" s="2">
        <v>1</v>
      </c>
      <c r="N78" s="2">
        <v>1</v>
      </c>
      <c r="R78" s="2">
        <f t="shared" si="3"/>
        <v>2</v>
      </c>
    </row>
    <row r="79" spans="1:18" x14ac:dyDescent="0.3">
      <c r="A79" s="2" t="str">
        <f t="shared" si="2"/>
        <v>海洋環境資訊系</v>
      </c>
      <c r="B79" s="2" t="str">
        <f>"00881021"</f>
        <v>00881021</v>
      </c>
      <c r="C79" s="2" t="str">
        <f>"陳永泰"</f>
        <v>陳永泰</v>
      </c>
      <c r="R79" s="2">
        <f t="shared" si="3"/>
        <v>0</v>
      </c>
    </row>
    <row r="80" spans="1:18" x14ac:dyDescent="0.3">
      <c r="A80" s="2" t="str">
        <f t="shared" si="2"/>
        <v>海洋環境資訊系</v>
      </c>
      <c r="B80" s="2" t="str">
        <f>"00881022"</f>
        <v>00881022</v>
      </c>
      <c r="C80" s="2" t="str">
        <f>"周雅蓁"</f>
        <v>周雅蓁</v>
      </c>
      <c r="R80" s="2">
        <f t="shared" si="3"/>
        <v>0</v>
      </c>
    </row>
    <row r="81" spans="1:18" x14ac:dyDescent="0.3">
      <c r="A81" s="2" t="str">
        <f t="shared" si="2"/>
        <v>海洋環境資訊系</v>
      </c>
      <c r="B81" s="2" t="str">
        <f>"00881023"</f>
        <v>00881023</v>
      </c>
      <c r="C81" s="2" t="str">
        <f>"邱加陞"</f>
        <v>邱加陞</v>
      </c>
      <c r="R81" s="2">
        <f t="shared" si="3"/>
        <v>0</v>
      </c>
    </row>
    <row r="82" spans="1:18" x14ac:dyDescent="0.3">
      <c r="A82" s="2" t="str">
        <f t="shared" si="2"/>
        <v>海洋環境資訊系</v>
      </c>
      <c r="B82" s="2" t="str">
        <f>"00881024"</f>
        <v>00881024</v>
      </c>
      <c r="C82" s="2" t="str">
        <f>"呂彥儒"</f>
        <v>呂彥儒</v>
      </c>
      <c r="R82" s="2">
        <f t="shared" si="3"/>
        <v>0</v>
      </c>
    </row>
    <row r="83" spans="1:18" x14ac:dyDescent="0.3">
      <c r="A83" s="2" t="str">
        <f t="shared" si="2"/>
        <v>海洋環境資訊系</v>
      </c>
      <c r="B83" s="2" t="str">
        <f>"00881025"</f>
        <v>00881025</v>
      </c>
      <c r="C83" s="2" t="str">
        <f>"歐陽頡"</f>
        <v>歐陽頡</v>
      </c>
      <c r="R83" s="2">
        <f t="shared" si="3"/>
        <v>0</v>
      </c>
    </row>
    <row r="84" spans="1:18" x14ac:dyDescent="0.3">
      <c r="A84" s="2" t="str">
        <f t="shared" si="2"/>
        <v>海洋環境資訊系</v>
      </c>
      <c r="B84" s="2" t="str">
        <f>"00881026"</f>
        <v>00881026</v>
      </c>
      <c r="C84" s="2" t="str">
        <f>"黃鈺宸"</f>
        <v>黃鈺宸</v>
      </c>
      <c r="R84" s="2">
        <f t="shared" si="3"/>
        <v>0</v>
      </c>
    </row>
    <row r="85" spans="1:18" x14ac:dyDescent="0.3">
      <c r="A85" s="2" t="str">
        <f t="shared" si="2"/>
        <v>海洋環境資訊系</v>
      </c>
      <c r="B85" s="2" t="str">
        <f>"00881027"</f>
        <v>00881027</v>
      </c>
      <c r="C85" s="2" t="str">
        <f>"梁天乙"</f>
        <v>梁天乙</v>
      </c>
      <c r="R85" s="2">
        <f t="shared" si="3"/>
        <v>0</v>
      </c>
    </row>
    <row r="86" spans="1:18" x14ac:dyDescent="0.3">
      <c r="A86" s="2" t="str">
        <f t="shared" si="2"/>
        <v>海洋環境資訊系</v>
      </c>
      <c r="B86" s="2" t="str">
        <f>"00881028"</f>
        <v>00881028</v>
      </c>
      <c r="C86" s="2" t="str">
        <f>"謝吉辰"</f>
        <v>謝吉辰</v>
      </c>
      <c r="R86" s="2">
        <f t="shared" si="3"/>
        <v>0</v>
      </c>
    </row>
    <row r="87" spans="1:18" x14ac:dyDescent="0.3">
      <c r="A87" s="2" t="str">
        <f t="shared" si="2"/>
        <v>海洋環境資訊系</v>
      </c>
      <c r="B87" s="2" t="str">
        <f>"00881029"</f>
        <v>00881029</v>
      </c>
      <c r="C87" s="2" t="str">
        <f>"鄭庭宜"</f>
        <v>鄭庭宜</v>
      </c>
      <c r="R87" s="2">
        <f t="shared" si="3"/>
        <v>0</v>
      </c>
    </row>
    <row r="88" spans="1:18" x14ac:dyDescent="0.3">
      <c r="A88" s="2" t="str">
        <f t="shared" si="2"/>
        <v>海洋環境資訊系</v>
      </c>
      <c r="B88" s="2" t="str">
        <f>"00881030"</f>
        <v>00881030</v>
      </c>
      <c r="C88" s="2" t="str">
        <f>"蘇煜鈞"</f>
        <v>蘇煜鈞</v>
      </c>
      <c r="R88" s="2">
        <f t="shared" si="3"/>
        <v>0</v>
      </c>
    </row>
    <row r="89" spans="1:18" x14ac:dyDescent="0.3">
      <c r="A89" s="2" t="str">
        <f t="shared" si="2"/>
        <v>海洋環境資訊系</v>
      </c>
      <c r="B89" s="2" t="str">
        <f>"00881031"</f>
        <v>00881031</v>
      </c>
      <c r="C89" s="2" t="str">
        <f>"林廷宇"</f>
        <v>林廷宇</v>
      </c>
      <c r="R89" s="2">
        <f t="shared" si="3"/>
        <v>0</v>
      </c>
    </row>
    <row r="90" spans="1:18" x14ac:dyDescent="0.3">
      <c r="A90" s="2" t="str">
        <f t="shared" si="2"/>
        <v>海洋環境資訊系</v>
      </c>
      <c r="B90" s="2" t="str">
        <f>"00881032"</f>
        <v>00881032</v>
      </c>
      <c r="C90" s="2" t="str">
        <f>"王御丞"</f>
        <v>王御丞</v>
      </c>
      <c r="R90" s="2">
        <f t="shared" si="3"/>
        <v>0</v>
      </c>
    </row>
    <row r="91" spans="1:18" x14ac:dyDescent="0.3">
      <c r="A91" s="2" t="str">
        <f t="shared" si="2"/>
        <v>海洋環境資訊系</v>
      </c>
      <c r="B91" s="2" t="str">
        <f>"00881033"</f>
        <v>00881033</v>
      </c>
      <c r="C91" s="2" t="str">
        <f>"王少鴻"</f>
        <v>王少鴻</v>
      </c>
      <c r="R91" s="2">
        <f t="shared" si="3"/>
        <v>0</v>
      </c>
    </row>
    <row r="92" spans="1:18" x14ac:dyDescent="0.3">
      <c r="A92" s="2" t="str">
        <f t="shared" si="2"/>
        <v>海洋環境資訊系</v>
      </c>
      <c r="B92" s="2" t="str">
        <f>"00881034"</f>
        <v>00881034</v>
      </c>
      <c r="C92" s="2" t="str">
        <f>"許歆珮"</f>
        <v>許歆珮</v>
      </c>
      <c r="R92" s="2">
        <f t="shared" si="3"/>
        <v>0</v>
      </c>
    </row>
    <row r="93" spans="1:18" x14ac:dyDescent="0.3">
      <c r="A93" s="2" t="str">
        <f t="shared" si="2"/>
        <v>海洋環境資訊系</v>
      </c>
      <c r="B93" s="2" t="str">
        <f>"00881035"</f>
        <v>00881035</v>
      </c>
      <c r="C93" s="2" t="str">
        <f>"江湧銓"</f>
        <v>江湧銓</v>
      </c>
      <c r="R93" s="2">
        <f t="shared" si="3"/>
        <v>0</v>
      </c>
    </row>
    <row r="94" spans="1:18" x14ac:dyDescent="0.3">
      <c r="A94" s="2" t="str">
        <f t="shared" si="2"/>
        <v>海洋環境資訊系</v>
      </c>
      <c r="B94" s="2" t="str">
        <f>"00881036"</f>
        <v>00881036</v>
      </c>
      <c r="C94" s="2" t="str">
        <f>"吳任泰"</f>
        <v>吳任泰</v>
      </c>
      <c r="R94" s="2">
        <f t="shared" si="3"/>
        <v>0</v>
      </c>
    </row>
    <row r="95" spans="1:18" x14ac:dyDescent="0.3">
      <c r="A95" s="2" t="s">
        <v>0</v>
      </c>
      <c r="B95" s="2" t="s">
        <v>1</v>
      </c>
      <c r="C95" s="2" t="s">
        <v>2</v>
      </c>
      <c r="D95" s="3" t="s">
        <v>18</v>
      </c>
      <c r="E95" s="4" t="s">
        <v>19</v>
      </c>
      <c r="F95" s="4" t="s">
        <v>31</v>
      </c>
      <c r="G95" s="4" t="s">
        <v>20</v>
      </c>
      <c r="H95" s="4" t="s">
        <v>21</v>
      </c>
      <c r="I95" s="4" t="s">
        <v>22</v>
      </c>
      <c r="J95" s="4" t="s">
        <v>23</v>
      </c>
      <c r="K95" s="4" t="s">
        <v>24</v>
      </c>
      <c r="L95" s="4" t="s">
        <v>25</v>
      </c>
      <c r="M95" s="4" t="s">
        <v>26</v>
      </c>
      <c r="N95" s="4" t="s">
        <v>27</v>
      </c>
      <c r="O95" s="4" t="s">
        <v>28</v>
      </c>
      <c r="P95" s="4" t="s">
        <v>29</v>
      </c>
      <c r="Q95" s="4" t="s">
        <v>30</v>
      </c>
      <c r="R95" s="1" t="s">
        <v>3</v>
      </c>
    </row>
    <row r="96" spans="1:18" x14ac:dyDescent="0.3">
      <c r="A96" s="2" t="str">
        <f t="shared" si="2"/>
        <v>海洋環境資訊系</v>
      </c>
      <c r="B96" s="2" t="str">
        <f>"00881037"</f>
        <v>00881037</v>
      </c>
      <c r="C96" s="2" t="str">
        <f>"廖于嫺"</f>
        <v>廖于嫺</v>
      </c>
      <c r="R96" s="2">
        <f t="shared" si="3"/>
        <v>0</v>
      </c>
    </row>
    <row r="97" spans="1:18" x14ac:dyDescent="0.3">
      <c r="A97" s="2" t="str">
        <f t="shared" si="2"/>
        <v>海洋環境資訊系</v>
      </c>
      <c r="B97" s="2" t="str">
        <f>"00881038"</f>
        <v>00881038</v>
      </c>
      <c r="C97" s="2" t="str">
        <f>"鄭怡佳"</f>
        <v>鄭怡佳</v>
      </c>
      <c r="R97" s="2">
        <f t="shared" si="3"/>
        <v>0</v>
      </c>
    </row>
    <row r="98" spans="1:18" x14ac:dyDescent="0.3">
      <c r="A98" s="2" t="str">
        <f t="shared" si="2"/>
        <v>海洋環境資訊系</v>
      </c>
      <c r="B98" s="2" t="str">
        <f>"00881039"</f>
        <v>00881039</v>
      </c>
      <c r="C98" s="2" t="str">
        <f>"王瀚緯"</f>
        <v>王瀚緯</v>
      </c>
      <c r="R98" s="2">
        <f t="shared" si="3"/>
        <v>0</v>
      </c>
    </row>
    <row r="99" spans="1:18" x14ac:dyDescent="0.3">
      <c r="A99" s="2" t="str">
        <f t="shared" si="2"/>
        <v>海洋環境資訊系</v>
      </c>
      <c r="B99" s="2" t="str">
        <f>"00881040"</f>
        <v>00881040</v>
      </c>
      <c r="C99" s="2" t="str">
        <f>"林俊宇"</f>
        <v>林俊宇</v>
      </c>
      <c r="R99" s="2">
        <f t="shared" si="3"/>
        <v>0</v>
      </c>
    </row>
    <row r="100" spans="1:18" x14ac:dyDescent="0.3">
      <c r="A100" s="2" t="str">
        <f t="shared" si="2"/>
        <v>海洋環境資訊系</v>
      </c>
      <c r="B100" s="2" t="str">
        <f>"00881041"</f>
        <v>00881041</v>
      </c>
      <c r="C100" s="2" t="str">
        <f>"廖晨維"</f>
        <v>廖晨維</v>
      </c>
      <c r="R100" s="2">
        <f t="shared" si="3"/>
        <v>0</v>
      </c>
    </row>
    <row r="101" spans="1:18" x14ac:dyDescent="0.3">
      <c r="A101" s="2" t="str">
        <f t="shared" si="2"/>
        <v>海洋環境資訊系</v>
      </c>
      <c r="B101" s="2" t="str">
        <f>"00881042"</f>
        <v>00881042</v>
      </c>
      <c r="C101" s="2" t="str">
        <f>"吳世煌"</f>
        <v>吳世煌</v>
      </c>
      <c r="R101" s="2">
        <f t="shared" si="3"/>
        <v>0</v>
      </c>
    </row>
    <row r="102" spans="1:18" x14ac:dyDescent="0.3">
      <c r="A102" s="2" t="str">
        <f t="shared" si="2"/>
        <v>海洋環境資訊系</v>
      </c>
      <c r="B102" s="2" t="str">
        <f>"00881043"</f>
        <v>00881043</v>
      </c>
      <c r="C102" s="2" t="str">
        <f>"吳楷杰"</f>
        <v>吳楷杰</v>
      </c>
      <c r="R102" s="2">
        <f t="shared" si="3"/>
        <v>0</v>
      </c>
    </row>
    <row r="103" spans="1:18" x14ac:dyDescent="0.3">
      <c r="A103" s="2" t="str">
        <f t="shared" si="2"/>
        <v>海洋環境資訊系</v>
      </c>
      <c r="B103" s="2" t="str">
        <f>"00881044"</f>
        <v>00881044</v>
      </c>
      <c r="C103" s="2" t="str">
        <f>"許弘霖"</f>
        <v>許弘霖</v>
      </c>
      <c r="R103" s="2">
        <f t="shared" si="3"/>
        <v>0</v>
      </c>
    </row>
    <row r="104" spans="1:18" x14ac:dyDescent="0.3">
      <c r="A104" s="2" t="str">
        <f t="shared" si="2"/>
        <v>海洋環境資訊系</v>
      </c>
      <c r="B104" s="2" t="str">
        <f>"00881045"</f>
        <v>00881045</v>
      </c>
      <c r="C104" s="2" t="str">
        <f>"陳有麒"</f>
        <v>陳有麒</v>
      </c>
      <c r="R104" s="2">
        <f t="shared" si="3"/>
        <v>0</v>
      </c>
    </row>
    <row r="105" spans="1:18" x14ac:dyDescent="0.3">
      <c r="A105" s="2" t="str">
        <f t="shared" si="2"/>
        <v>海洋環境資訊系</v>
      </c>
      <c r="B105" s="2" t="str">
        <f>"00881046"</f>
        <v>00881046</v>
      </c>
      <c r="C105" s="2" t="str">
        <f>"賴昱新"</f>
        <v>賴昱新</v>
      </c>
      <c r="R105" s="2">
        <f t="shared" si="3"/>
        <v>0</v>
      </c>
    </row>
    <row r="106" spans="1:18" x14ac:dyDescent="0.3">
      <c r="A106" s="2" t="str">
        <f t="shared" si="2"/>
        <v>海洋環境資訊系</v>
      </c>
      <c r="B106" s="2" t="str">
        <f>"00881047"</f>
        <v>00881047</v>
      </c>
      <c r="C106" s="2" t="str">
        <f>"胥詠葳"</f>
        <v>胥詠葳</v>
      </c>
      <c r="R106" s="2">
        <f t="shared" si="3"/>
        <v>0</v>
      </c>
    </row>
    <row r="107" spans="1:18" x14ac:dyDescent="0.3">
      <c r="A107" s="2" t="str">
        <f t="shared" si="2"/>
        <v>海洋環境資訊系</v>
      </c>
      <c r="B107" s="2" t="str">
        <f>"00881048"</f>
        <v>00881048</v>
      </c>
      <c r="C107" s="2" t="str">
        <f>"張仁宥"</f>
        <v>張仁宥</v>
      </c>
      <c r="R107" s="2">
        <f t="shared" si="3"/>
        <v>0</v>
      </c>
    </row>
    <row r="108" spans="1:18" x14ac:dyDescent="0.3">
      <c r="A108" s="2" t="str">
        <f t="shared" si="2"/>
        <v>海洋環境資訊系</v>
      </c>
      <c r="B108" s="2" t="str">
        <f>"00881049"</f>
        <v>00881049</v>
      </c>
      <c r="C108" s="2" t="str">
        <f>"謝坤霖"</f>
        <v>謝坤霖</v>
      </c>
      <c r="R108" s="2">
        <f t="shared" si="3"/>
        <v>0</v>
      </c>
    </row>
    <row r="109" spans="1:18" x14ac:dyDescent="0.3">
      <c r="A109" s="2" t="str">
        <f t="shared" si="2"/>
        <v>海洋環境資訊系</v>
      </c>
      <c r="B109" s="2" t="str">
        <f>"00881050"</f>
        <v>00881050</v>
      </c>
      <c r="C109" s="2" t="str">
        <f>"高宗暘"</f>
        <v>高宗暘</v>
      </c>
      <c r="R109" s="2">
        <f t="shared" si="3"/>
        <v>0</v>
      </c>
    </row>
    <row r="110" spans="1:18" x14ac:dyDescent="0.3">
      <c r="A110" s="2" t="str">
        <f t="shared" si="2"/>
        <v>海洋環境資訊系</v>
      </c>
      <c r="B110" s="2" t="str">
        <f>"00881051"</f>
        <v>00881051</v>
      </c>
      <c r="C110" s="2" t="str">
        <f>"高嘉璐"</f>
        <v>高嘉璐</v>
      </c>
      <c r="R110" s="2">
        <f t="shared" si="3"/>
        <v>0</v>
      </c>
    </row>
    <row r="111" spans="1:18" x14ac:dyDescent="0.3">
      <c r="A111" s="2" t="str">
        <f t="shared" si="2"/>
        <v>海洋環境資訊系</v>
      </c>
      <c r="B111" s="2" t="str">
        <f>"00881052"</f>
        <v>00881052</v>
      </c>
      <c r="C111" s="2" t="str">
        <f>"賴盟元"</f>
        <v>賴盟元</v>
      </c>
      <c r="R111" s="2">
        <f t="shared" si="3"/>
        <v>0</v>
      </c>
    </row>
    <row r="112" spans="1:18" x14ac:dyDescent="0.3">
      <c r="A112" s="2" t="str">
        <f t="shared" si="2"/>
        <v>海洋環境資訊系</v>
      </c>
      <c r="B112" s="2" t="str">
        <f>"00881053"</f>
        <v>00881053</v>
      </c>
      <c r="C112" s="2" t="str">
        <f>"曾俊諺"</f>
        <v>曾俊諺</v>
      </c>
      <c r="R112" s="2">
        <f t="shared" si="3"/>
        <v>0</v>
      </c>
    </row>
    <row r="113" spans="1:18" x14ac:dyDescent="0.3">
      <c r="A113" s="2" t="str">
        <f>"環境生物與漁業科學學系"</f>
        <v>環境生物與漁業科學學系</v>
      </c>
      <c r="B113" s="2" t="str">
        <f>"90799666"</f>
        <v>90799666</v>
      </c>
      <c r="C113" s="2" t="str">
        <f>"小白"</f>
        <v>小白</v>
      </c>
      <c r="R113" s="2">
        <f t="shared" si="3"/>
        <v>0</v>
      </c>
    </row>
    <row r="114" spans="1:18" x14ac:dyDescent="0.3">
      <c r="A114" s="2" t="str">
        <f>"環境生物與漁業科學學系"</f>
        <v>環境生物與漁業科學學系</v>
      </c>
      <c r="B114" s="2" t="str">
        <f>"00831201"</f>
        <v>00831201</v>
      </c>
      <c r="C114" s="2" t="s">
        <v>76</v>
      </c>
      <c r="F114" s="2">
        <v>1</v>
      </c>
      <c r="H114" s="2">
        <v>1</v>
      </c>
      <c r="R114" s="2">
        <f t="shared" si="3"/>
        <v>2</v>
      </c>
    </row>
    <row r="115" spans="1:18" x14ac:dyDescent="0.3">
      <c r="A115" s="2" t="str">
        <f t="shared" ref="A115" si="4">"海洋環境資訊系"</f>
        <v>海洋環境資訊系</v>
      </c>
      <c r="B115" s="2" t="str">
        <f>"00881202"</f>
        <v>00881202</v>
      </c>
      <c r="C115" s="2" t="s">
        <v>77</v>
      </c>
      <c r="F115" s="2">
        <v>1</v>
      </c>
      <c r="R115" s="2">
        <f t="shared" si="3"/>
        <v>1</v>
      </c>
    </row>
    <row r="116" spans="1:18" x14ac:dyDescent="0.3">
      <c r="R116" s="2">
        <f t="shared" si="3"/>
        <v>0</v>
      </c>
    </row>
  </sheetData>
  <phoneticPr fontId="1" type="noConversion"/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>&amp;C1081化學補強教學出席率登記本</oddHeader>
    <oddFooter>&amp;C&amp;A&amp;R第 &amp;P 頁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X148"/>
  <sheetViews>
    <sheetView tabSelected="1" workbookViewId="0">
      <selection activeCell="B139" sqref="B139"/>
    </sheetView>
  </sheetViews>
  <sheetFormatPr defaultRowHeight="16.2" x14ac:dyDescent="0.3"/>
  <cols>
    <col min="1" max="3" width="11.33203125" customWidth="1"/>
    <col min="4" max="4" width="5.33203125" customWidth="1"/>
    <col min="5" max="5" width="5.5546875" customWidth="1"/>
    <col min="6" max="6" width="5.33203125" customWidth="1"/>
    <col min="7" max="7" width="4.44140625" customWidth="1"/>
    <col min="8" max="8" width="5.33203125" customWidth="1"/>
    <col min="9" max="9" width="4.21875" customWidth="1"/>
    <col min="10" max="10" width="4.109375" customWidth="1"/>
    <col min="11" max="11" width="4.33203125" customWidth="1"/>
    <col min="12" max="12" width="5.33203125" customWidth="1"/>
    <col min="13" max="13" width="4.88671875" customWidth="1"/>
    <col min="14" max="14" width="5.109375" customWidth="1"/>
    <col min="15" max="15" width="5.21875" customWidth="1"/>
    <col min="16" max="17" width="5.109375" customWidth="1"/>
    <col min="18" max="1025" width="11.33203125" customWidth="1"/>
  </cols>
  <sheetData>
    <row r="1" spans="1:1012" s="2" customFormat="1" x14ac:dyDescent="0.3">
      <c r="A1" s="2" t="s">
        <v>0</v>
      </c>
      <c r="B1" s="2" t="s">
        <v>1</v>
      </c>
      <c r="C1" s="2" t="s">
        <v>2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 t="s">
        <v>37</v>
      </c>
      <c r="J1" s="5" t="s">
        <v>38</v>
      </c>
      <c r="K1" s="6" t="s">
        <v>39</v>
      </c>
      <c r="L1" s="7" t="s">
        <v>40</v>
      </c>
      <c r="M1" s="7" t="s">
        <v>41</v>
      </c>
      <c r="N1" s="7" t="s">
        <v>42</v>
      </c>
      <c r="O1" s="7" t="s">
        <v>43</v>
      </c>
      <c r="P1" s="7" t="s">
        <v>44</v>
      </c>
      <c r="Q1" s="7" t="s">
        <v>45</v>
      </c>
      <c r="R1" s="5" t="s">
        <v>46</v>
      </c>
    </row>
    <row r="2" spans="1:1012" s="8" customFormat="1" x14ac:dyDescent="0.3">
      <c r="A2" s="2" t="str">
        <f t="shared" ref="A2:A8" si="0">"水產養殖學系"</f>
        <v>水產養殖學系</v>
      </c>
      <c r="B2" s="2" t="str">
        <f>"00833006"</f>
        <v>00833006</v>
      </c>
      <c r="C2" s="2" t="str">
        <f>"曾培哲"</f>
        <v>曾培哲</v>
      </c>
      <c r="D2" s="2"/>
      <c r="E2" s="2"/>
      <c r="F2" s="2">
        <v>1</v>
      </c>
      <c r="G2" s="2"/>
      <c r="H2" s="2"/>
      <c r="I2" s="2"/>
      <c r="J2" s="2">
        <v>1</v>
      </c>
      <c r="K2" s="2"/>
      <c r="L2" s="2"/>
      <c r="M2" s="2">
        <v>1</v>
      </c>
      <c r="N2" s="2"/>
      <c r="O2" s="2"/>
      <c r="P2" s="2"/>
      <c r="Q2" s="2"/>
      <c r="R2" s="2">
        <f t="shared" ref="R2:R7" si="1">SUM(D2:Q2)</f>
        <v>3</v>
      </c>
    </row>
    <row r="3" spans="1:1012" s="8" customFormat="1" x14ac:dyDescent="0.3">
      <c r="A3" s="2" t="str">
        <f t="shared" si="0"/>
        <v>水產養殖學系</v>
      </c>
      <c r="B3" s="2" t="str">
        <f>"00833007"</f>
        <v>00833007</v>
      </c>
      <c r="C3" s="2" t="str">
        <f>"葛益汝"</f>
        <v>葛益汝</v>
      </c>
      <c r="D3" s="2"/>
      <c r="E3" s="2"/>
      <c r="F3" s="2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>
        <f t="shared" si="1"/>
        <v>1</v>
      </c>
    </row>
    <row r="4" spans="1:1012" s="8" customFormat="1" x14ac:dyDescent="0.3">
      <c r="A4" s="2" t="str">
        <f t="shared" si="0"/>
        <v>水產養殖學系</v>
      </c>
      <c r="B4" s="2" t="str">
        <f>"00833021"</f>
        <v>00833021</v>
      </c>
      <c r="C4" s="2" t="str">
        <f>"邱詩涵"</f>
        <v>邱詩涵</v>
      </c>
      <c r="D4" s="2"/>
      <c r="E4" s="2"/>
      <c r="F4" s="2"/>
      <c r="G4" s="2"/>
      <c r="H4" s="2"/>
      <c r="I4" s="2"/>
      <c r="J4" s="2">
        <v>1</v>
      </c>
      <c r="K4" s="2"/>
      <c r="L4" s="2"/>
      <c r="M4" s="2"/>
      <c r="N4" s="2"/>
      <c r="O4" s="2"/>
      <c r="P4" s="2"/>
      <c r="Q4" s="2"/>
      <c r="R4" s="2">
        <f t="shared" si="1"/>
        <v>1</v>
      </c>
    </row>
    <row r="5" spans="1:1012" s="9" customFormat="1" x14ac:dyDescent="0.3">
      <c r="A5" s="2" t="str">
        <f t="shared" si="0"/>
        <v>水產養殖學系</v>
      </c>
      <c r="B5" s="2" t="str">
        <f>"00833027"</f>
        <v>00833027</v>
      </c>
      <c r="C5" s="2" t="str">
        <f>"蘇柏宇"</f>
        <v>蘇柏宇</v>
      </c>
      <c r="D5" s="2"/>
      <c r="E5" s="2"/>
      <c r="F5" s="2">
        <v>1</v>
      </c>
      <c r="G5" s="2"/>
      <c r="H5" s="2"/>
      <c r="I5" s="2"/>
      <c r="J5" s="2">
        <v>1</v>
      </c>
      <c r="K5" s="2"/>
      <c r="L5" s="2"/>
      <c r="M5" s="2">
        <v>1</v>
      </c>
      <c r="N5" s="2"/>
      <c r="O5" s="2"/>
      <c r="P5" s="2"/>
      <c r="Q5" s="2"/>
      <c r="R5" s="2">
        <f t="shared" si="1"/>
        <v>3</v>
      </c>
    </row>
    <row r="6" spans="1:1012" s="9" customFormat="1" x14ac:dyDescent="0.3">
      <c r="A6" s="2" t="str">
        <f t="shared" si="0"/>
        <v>水產養殖學系</v>
      </c>
      <c r="B6" s="2" t="str">
        <f>"00833030"</f>
        <v>00833030</v>
      </c>
      <c r="C6" s="2" t="str">
        <f>"顏彰霆"</f>
        <v>顏彰霆</v>
      </c>
      <c r="D6" s="2"/>
      <c r="E6" s="2"/>
      <c r="F6" s="2">
        <v>1</v>
      </c>
      <c r="G6" s="2"/>
      <c r="H6" s="2"/>
      <c r="I6" s="2"/>
      <c r="J6" s="2">
        <v>1</v>
      </c>
      <c r="K6" s="2"/>
      <c r="L6" s="2"/>
      <c r="M6" s="2"/>
      <c r="N6" s="2"/>
      <c r="O6" s="2"/>
      <c r="P6" s="2"/>
      <c r="Q6" s="2"/>
      <c r="R6" s="2">
        <f t="shared" si="1"/>
        <v>2</v>
      </c>
    </row>
    <row r="7" spans="1:1012" s="9" customFormat="1" x14ac:dyDescent="0.3">
      <c r="A7" s="2" t="str">
        <f t="shared" si="0"/>
        <v>水產養殖學系</v>
      </c>
      <c r="B7" s="2" t="str">
        <f>"00833034"</f>
        <v>00833034</v>
      </c>
      <c r="C7" s="2" t="str">
        <f>"林廷儒"</f>
        <v>林廷儒</v>
      </c>
      <c r="D7" s="2"/>
      <c r="E7" s="2"/>
      <c r="F7" s="2"/>
      <c r="G7" s="2"/>
      <c r="H7" s="2"/>
      <c r="I7" s="2"/>
      <c r="J7" s="2">
        <v>1</v>
      </c>
      <c r="K7" s="2"/>
      <c r="L7" s="2"/>
      <c r="M7" s="2"/>
      <c r="N7" s="2"/>
      <c r="O7" s="2"/>
      <c r="P7" s="2"/>
      <c r="Q7" s="2"/>
      <c r="R7" s="2">
        <f t="shared" si="1"/>
        <v>1</v>
      </c>
    </row>
    <row r="8" spans="1:1012" s="10" customFormat="1" x14ac:dyDescent="0.3">
      <c r="A8" s="2" t="str">
        <f t="shared" si="0"/>
        <v>水產養殖學系</v>
      </c>
      <c r="B8" s="2" t="str">
        <f>"00833112"</f>
        <v>00833112</v>
      </c>
      <c r="C8" s="2" t="str">
        <f>"黃彥奇"</f>
        <v>黃彥奇</v>
      </c>
      <c r="D8" s="2"/>
      <c r="E8" s="2">
        <v>1</v>
      </c>
      <c r="F8" s="2"/>
      <c r="G8" s="2">
        <v>1</v>
      </c>
      <c r="H8" s="2"/>
      <c r="I8" s="2"/>
      <c r="J8" s="2"/>
      <c r="K8" s="2"/>
      <c r="L8" s="2">
        <v>1</v>
      </c>
      <c r="M8" s="2"/>
      <c r="N8" s="2"/>
      <c r="O8" s="2">
        <v>1</v>
      </c>
      <c r="P8" s="2"/>
      <c r="Q8" s="2"/>
      <c r="R8" s="2">
        <f t="shared" ref="R8:R9" si="2">SUM(D8:Q8)</f>
        <v>4</v>
      </c>
    </row>
    <row r="9" spans="1:1012" x14ac:dyDescent="0.3">
      <c r="A9" s="2" t="str">
        <f t="shared" ref="A9" si="3">"水產養殖學系"</f>
        <v>水產養殖學系</v>
      </c>
      <c r="B9" s="2" t="str">
        <f>"00833125"</f>
        <v>00833125</v>
      </c>
      <c r="C9" s="2" t="str">
        <f>"賴昱瑄"</f>
        <v>賴昱瑄</v>
      </c>
      <c r="D9" s="2"/>
      <c r="E9" s="2"/>
      <c r="F9" s="2"/>
      <c r="G9" s="2"/>
      <c r="H9" s="2"/>
      <c r="I9" s="2"/>
      <c r="J9" s="2">
        <v>1</v>
      </c>
      <c r="K9" s="2"/>
      <c r="L9" s="2">
        <v>1</v>
      </c>
      <c r="M9" s="2"/>
      <c r="N9" s="2"/>
      <c r="O9" s="2"/>
      <c r="P9" s="2">
        <v>1</v>
      </c>
      <c r="Q9" s="2"/>
      <c r="R9" s="2">
        <f t="shared" si="2"/>
        <v>3</v>
      </c>
      <c r="S9" s="14"/>
      <c r="T9" s="14"/>
      <c r="U9" s="14"/>
      <c r="V9" s="12"/>
      <c r="AK9" s="14" t="s">
        <v>50</v>
      </c>
      <c r="AL9" s="14" t="s">
        <v>51</v>
      </c>
      <c r="AM9" s="14" t="s">
        <v>52</v>
      </c>
      <c r="AN9" s="12"/>
      <c r="BC9" s="14" t="s">
        <v>50</v>
      </c>
      <c r="BD9" s="14" t="s">
        <v>51</v>
      </c>
      <c r="BE9" s="14" t="s">
        <v>52</v>
      </c>
      <c r="BF9" s="12"/>
      <c r="BU9" s="14" t="s">
        <v>50</v>
      </c>
      <c r="BV9" s="14" t="s">
        <v>51</v>
      </c>
      <c r="BW9" s="14" t="s">
        <v>52</v>
      </c>
      <c r="BX9" s="12"/>
      <c r="CM9" s="14" t="s">
        <v>50</v>
      </c>
      <c r="CN9" s="14" t="s">
        <v>51</v>
      </c>
      <c r="CO9" s="14" t="s">
        <v>52</v>
      </c>
      <c r="CP9" s="12"/>
      <c r="DE9" s="14" t="s">
        <v>50</v>
      </c>
      <c r="DF9" s="14" t="s">
        <v>51</v>
      </c>
      <c r="DG9" s="14" t="s">
        <v>52</v>
      </c>
      <c r="DH9" s="12"/>
      <c r="DW9" s="14" t="s">
        <v>50</v>
      </c>
      <c r="DX9" s="14" t="s">
        <v>51</v>
      </c>
      <c r="DY9" s="14" t="s">
        <v>52</v>
      </c>
      <c r="DZ9" s="12"/>
      <c r="EO9" s="14" t="s">
        <v>50</v>
      </c>
      <c r="EP9" s="14" t="s">
        <v>51</v>
      </c>
      <c r="EQ9" s="14" t="s">
        <v>52</v>
      </c>
      <c r="ER9" s="12"/>
      <c r="FG9" s="14" t="s">
        <v>50</v>
      </c>
      <c r="FH9" s="14" t="s">
        <v>51</v>
      </c>
      <c r="FI9" s="14" t="s">
        <v>52</v>
      </c>
      <c r="FJ9" s="12"/>
      <c r="FY9" s="14" t="s">
        <v>50</v>
      </c>
      <c r="FZ9" s="14" t="s">
        <v>51</v>
      </c>
      <c r="GA9" s="14" t="s">
        <v>52</v>
      </c>
      <c r="GB9" s="12"/>
      <c r="GQ9" s="14" t="s">
        <v>50</v>
      </c>
      <c r="GR9" s="14" t="s">
        <v>51</v>
      </c>
      <c r="GS9" s="14" t="s">
        <v>52</v>
      </c>
      <c r="GT9" s="12"/>
      <c r="HI9" s="14" t="s">
        <v>50</v>
      </c>
      <c r="HJ9" s="14" t="s">
        <v>51</v>
      </c>
      <c r="HK9" s="14" t="s">
        <v>52</v>
      </c>
      <c r="HL9" s="12"/>
      <c r="IA9" s="14" t="s">
        <v>50</v>
      </c>
      <c r="IB9" s="14" t="s">
        <v>51</v>
      </c>
      <c r="IC9" s="14" t="s">
        <v>52</v>
      </c>
      <c r="ID9" s="12"/>
      <c r="IS9" s="14" t="s">
        <v>50</v>
      </c>
      <c r="IT9" s="14" t="s">
        <v>51</v>
      </c>
      <c r="IU9" s="14" t="s">
        <v>52</v>
      </c>
      <c r="IV9" s="12"/>
      <c r="JK9" s="14" t="s">
        <v>50</v>
      </c>
      <c r="JL9" s="14" t="s">
        <v>51</v>
      </c>
      <c r="JM9" s="14" t="s">
        <v>52</v>
      </c>
      <c r="JN9" s="12"/>
      <c r="KC9" s="14" t="s">
        <v>50</v>
      </c>
      <c r="KD9" s="14" t="s">
        <v>51</v>
      </c>
      <c r="KE9" s="14" t="s">
        <v>52</v>
      </c>
      <c r="KF9" s="12"/>
      <c r="KU9" s="14" t="s">
        <v>50</v>
      </c>
      <c r="KV9" s="14" t="s">
        <v>51</v>
      </c>
      <c r="KW9" s="14" t="s">
        <v>52</v>
      </c>
      <c r="KX9" s="12"/>
      <c r="LM9" s="14" t="s">
        <v>50</v>
      </c>
      <c r="LN9" s="14" t="s">
        <v>51</v>
      </c>
      <c r="LO9" s="14" t="s">
        <v>52</v>
      </c>
      <c r="LP9" s="12"/>
      <c r="ME9" s="14" t="s">
        <v>50</v>
      </c>
      <c r="MF9" s="14" t="s">
        <v>51</v>
      </c>
      <c r="MG9" s="14" t="s">
        <v>52</v>
      </c>
      <c r="MH9" s="12"/>
      <c r="MW9" s="14" t="s">
        <v>50</v>
      </c>
      <c r="MX9" s="14" t="s">
        <v>51</v>
      </c>
      <c r="MY9" s="14" t="s">
        <v>52</v>
      </c>
      <c r="MZ9" s="12"/>
      <c r="NO9" s="14" t="s">
        <v>50</v>
      </c>
      <c r="NP9" s="14" t="s">
        <v>51</v>
      </c>
      <c r="NQ9" s="14" t="s">
        <v>52</v>
      </c>
      <c r="NR9" s="12"/>
      <c r="OG9" s="14" t="s">
        <v>50</v>
      </c>
      <c r="OH9" s="14" t="s">
        <v>51</v>
      </c>
      <c r="OI9" s="14" t="s">
        <v>52</v>
      </c>
      <c r="OJ9" s="12"/>
      <c r="OY9" s="14" t="s">
        <v>50</v>
      </c>
      <c r="OZ9" s="14" t="s">
        <v>51</v>
      </c>
      <c r="PA9" s="14" t="s">
        <v>52</v>
      </c>
      <c r="PB9" s="12"/>
      <c r="PQ9" s="14" t="s">
        <v>50</v>
      </c>
      <c r="PR9" s="14" t="s">
        <v>51</v>
      </c>
      <c r="PS9" s="14" t="s">
        <v>52</v>
      </c>
      <c r="PT9" s="12"/>
      <c r="QI9" s="14" t="s">
        <v>50</v>
      </c>
      <c r="QJ9" s="14" t="s">
        <v>51</v>
      </c>
      <c r="QK9" s="14" t="s">
        <v>52</v>
      </c>
      <c r="QL9" s="12"/>
      <c r="RA9" s="14" t="s">
        <v>50</v>
      </c>
      <c r="RB9" s="14" t="s">
        <v>51</v>
      </c>
      <c r="RC9" s="14" t="s">
        <v>52</v>
      </c>
      <c r="RD9" s="12"/>
      <c r="RS9" s="14" t="s">
        <v>50</v>
      </c>
      <c r="RT9" s="14" t="s">
        <v>51</v>
      </c>
      <c r="RU9" s="14" t="s">
        <v>52</v>
      </c>
      <c r="RV9" s="12"/>
      <c r="SK9" s="14" t="s">
        <v>50</v>
      </c>
      <c r="SL9" s="14" t="s">
        <v>51</v>
      </c>
      <c r="SM9" s="14" t="s">
        <v>52</v>
      </c>
      <c r="SN9" s="12"/>
      <c r="TC9" s="14" t="s">
        <v>50</v>
      </c>
      <c r="TD9" s="14" t="s">
        <v>51</v>
      </c>
      <c r="TE9" s="14" t="s">
        <v>52</v>
      </c>
      <c r="TF9" s="12"/>
      <c r="TU9" s="14" t="s">
        <v>50</v>
      </c>
      <c r="TV9" s="14" t="s">
        <v>51</v>
      </c>
      <c r="TW9" s="14" t="s">
        <v>52</v>
      </c>
      <c r="TX9" s="12"/>
      <c r="UM9" s="14" t="s">
        <v>50</v>
      </c>
      <c r="UN9" s="14" t="s">
        <v>51</v>
      </c>
      <c r="UO9" s="14" t="s">
        <v>52</v>
      </c>
      <c r="UP9" s="12"/>
      <c r="VE9" s="14" t="s">
        <v>50</v>
      </c>
      <c r="VF9" s="14" t="s">
        <v>51</v>
      </c>
      <c r="VG9" s="14" t="s">
        <v>52</v>
      </c>
      <c r="VH9" s="12"/>
      <c r="VW9" s="14" t="s">
        <v>50</v>
      </c>
      <c r="VX9" s="14" t="s">
        <v>51</v>
      </c>
      <c r="VY9" s="14" t="s">
        <v>52</v>
      </c>
      <c r="VZ9" s="12"/>
      <c r="WO9" s="14" t="s">
        <v>50</v>
      </c>
      <c r="WP9" s="14" t="s">
        <v>51</v>
      </c>
      <c r="WQ9" s="14" t="s">
        <v>52</v>
      </c>
      <c r="WR9" s="12"/>
      <c r="XG9" s="14" t="s">
        <v>50</v>
      </c>
      <c r="XH9" s="14" t="s">
        <v>51</v>
      </c>
      <c r="XI9" s="14" t="s">
        <v>52</v>
      </c>
      <c r="XJ9" s="12"/>
      <c r="XY9" s="14" t="s">
        <v>50</v>
      </c>
      <c r="XZ9" s="14" t="s">
        <v>51</v>
      </c>
      <c r="YA9" s="14" t="s">
        <v>52</v>
      </c>
      <c r="YB9" s="12"/>
      <c r="YQ9" s="14" t="s">
        <v>50</v>
      </c>
      <c r="YR9" s="14" t="s">
        <v>51</v>
      </c>
      <c r="YS9" s="14" t="s">
        <v>52</v>
      </c>
      <c r="YT9" s="12"/>
      <c r="ZI9" s="14" t="s">
        <v>50</v>
      </c>
      <c r="ZJ9" s="14" t="s">
        <v>51</v>
      </c>
      <c r="ZK9" s="14" t="s">
        <v>52</v>
      </c>
      <c r="ZL9" s="12"/>
      <c r="AAA9" s="14" t="s">
        <v>50</v>
      </c>
      <c r="AAB9" s="14" t="s">
        <v>51</v>
      </c>
      <c r="AAC9" s="14" t="s">
        <v>52</v>
      </c>
      <c r="AAD9" s="12"/>
      <c r="AAS9" s="14" t="s">
        <v>50</v>
      </c>
      <c r="AAT9" s="14" t="s">
        <v>51</v>
      </c>
      <c r="AAU9" s="14" t="s">
        <v>52</v>
      </c>
      <c r="AAV9" s="12"/>
      <c r="ABK9" s="14" t="s">
        <v>50</v>
      </c>
      <c r="ABL9" s="14" t="s">
        <v>51</v>
      </c>
      <c r="ABM9" s="14" t="s">
        <v>52</v>
      </c>
      <c r="ABN9" s="12"/>
      <c r="ACC9" s="14" t="s">
        <v>50</v>
      </c>
      <c r="ACD9" s="14" t="s">
        <v>51</v>
      </c>
      <c r="ACE9" s="14" t="s">
        <v>52</v>
      </c>
      <c r="ACF9" s="12"/>
      <c r="ACU9" s="14" t="s">
        <v>50</v>
      </c>
      <c r="ACV9" s="14" t="s">
        <v>51</v>
      </c>
      <c r="ACW9" s="14" t="s">
        <v>52</v>
      </c>
      <c r="ACX9" s="12"/>
      <c r="ADM9" s="14" t="s">
        <v>50</v>
      </c>
      <c r="ADN9" s="14" t="s">
        <v>51</v>
      </c>
      <c r="ADO9" s="14" t="s">
        <v>52</v>
      </c>
      <c r="ADP9" s="12"/>
      <c r="AEE9" s="14" t="s">
        <v>50</v>
      </c>
      <c r="AEF9" s="14" t="s">
        <v>51</v>
      </c>
      <c r="AEG9" s="14" t="s">
        <v>52</v>
      </c>
      <c r="AEH9" s="12"/>
      <c r="AEW9" s="14" t="s">
        <v>50</v>
      </c>
      <c r="AEX9" s="14" t="s">
        <v>51</v>
      </c>
      <c r="AEY9" s="14" t="s">
        <v>52</v>
      </c>
      <c r="AEZ9" s="12"/>
      <c r="AFO9" s="14" t="s">
        <v>50</v>
      </c>
      <c r="AFP9" s="14" t="s">
        <v>51</v>
      </c>
      <c r="AFQ9" s="14" t="s">
        <v>52</v>
      </c>
      <c r="AFR9" s="12"/>
      <c r="AGG9" s="14" t="s">
        <v>50</v>
      </c>
      <c r="AGH9" s="14" t="s">
        <v>51</v>
      </c>
      <c r="AGI9" s="14" t="s">
        <v>52</v>
      </c>
      <c r="AGJ9" s="12"/>
      <c r="AGY9" s="14" t="s">
        <v>50</v>
      </c>
      <c r="AGZ9" s="14" t="s">
        <v>51</v>
      </c>
      <c r="AHA9" s="14" t="s">
        <v>52</v>
      </c>
      <c r="AHB9" s="12"/>
      <c r="AHQ9" s="14" t="s">
        <v>50</v>
      </c>
      <c r="AHR9" s="14" t="s">
        <v>51</v>
      </c>
      <c r="AHS9" s="14" t="s">
        <v>52</v>
      </c>
      <c r="AHT9" s="12"/>
      <c r="AII9" s="14" t="s">
        <v>50</v>
      </c>
      <c r="AIJ9" s="14" t="s">
        <v>51</v>
      </c>
      <c r="AIK9" s="14" t="s">
        <v>52</v>
      </c>
      <c r="AIL9" s="12"/>
      <c r="AJA9" s="14" t="s">
        <v>50</v>
      </c>
      <c r="AJB9" s="14" t="s">
        <v>51</v>
      </c>
      <c r="AJC9" s="14" t="s">
        <v>52</v>
      </c>
      <c r="AJD9" s="12"/>
      <c r="AJS9" s="14" t="s">
        <v>50</v>
      </c>
      <c r="AJT9" s="14" t="s">
        <v>51</v>
      </c>
      <c r="AJU9" s="14" t="s">
        <v>52</v>
      </c>
      <c r="AJV9" s="12"/>
      <c r="AKK9" s="14" t="s">
        <v>50</v>
      </c>
      <c r="AKL9" s="14" t="s">
        <v>51</v>
      </c>
      <c r="AKM9" s="14" t="s">
        <v>52</v>
      </c>
      <c r="AKN9" s="12"/>
      <c r="ALC9" s="14" t="s">
        <v>50</v>
      </c>
      <c r="ALD9" s="14" t="s">
        <v>51</v>
      </c>
      <c r="ALE9" s="14" t="s">
        <v>52</v>
      </c>
      <c r="ALF9" s="12"/>
      <c r="ALU9" s="14" t="s">
        <v>50</v>
      </c>
      <c r="ALV9" s="14" t="s">
        <v>51</v>
      </c>
      <c r="ALW9" s="14" t="s">
        <v>52</v>
      </c>
      <c r="ALX9" s="12"/>
    </row>
    <row r="10" spans="1:1012" s="20" customFormat="1" x14ac:dyDescent="0.3">
      <c r="A10" s="23" t="str">
        <f>"食品科學系生物科技組"</f>
        <v>食品科學系生物科技組</v>
      </c>
      <c r="B10" s="23" t="str">
        <f>"0053A052"</f>
        <v>0053A052</v>
      </c>
      <c r="C10" s="23" t="str">
        <f>"譚諾謙"</f>
        <v>譚諾謙</v>
      </c>
      <c r="D10" s="23"/>
      <c r="E10" s="23">
        <v>1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>
        <f t="shared" ref="R10:R34" si="4">SUM(D10:Q10)</f>
        <v>1</v>
      </c>
    </row>
    <row r="11" spans="1:1012" s="20" customFormat="1" x14ac:dyDescent="0.3">
      <c r="A11" s="23" t="str">
        <f>"食品科學系生物科技組"</f>
        <v>食品科學系生物科技組</v>
      </c>
      <c r="B11" s="23" t="str">
        <f>"0073A038"</f>
        <v>0073A038</v>
      </c>
      <c r="C11" s="23" t="str">
        <f>"張定睿"</f>
        <v>張定睿</v>
      </c>
      <c r="D11" s="23"/>
      <c r="E11" s="23"/>
      <c r="F11" s="23"/>
      <c r="G11" s="23"/>
      <c r="H11" s="23"/>
      <c r="I11" s="23"/>
      <c r="J11" s="23">
        <v>1</v>
      </c>
      <c r="K11" s="23"/>
      <c r="L11" s="23"/>
      <c r="M11" s="23"/>
      <c r="N11" s="23"/>
      <c r="O11" s="23"/>
      <c r="P11" s="23"/>
      <c r="Q11" s="23"/>
      <c r="R11" s="23">
        <f t="shared" si="4"/>
        <v>1</v>
      </c>
    </row>
    <row r="12" spans="1:1012" s="20" customFormat="1" x14ac:dyDescent="0.3">
      <c r="A12" s="23" t="str">
        <f t="shared" ref="A12:A40" si="5">"食品科學系食品科學組"</f>
        <v>食品科學系食品科學組</v>
      </c>
      <c r="B12" s="23" t="str">
        <f>"00839002"</f>
        <v>00839002</v>
      </c>
      <c r="C12" s="23" t="str">
        <f>"黃宣寧"</f>
        <v>黃宣寧</v>
      </c>
      <c r="D12" s="23"/>
      <c r="E12" s="23">
        <v>1</v>
      </c>
      <c r="F12" s="23"/>
      <c r="G12" s="23"/>
      <c r="H12" s="23"/>
      <c r="I12" s="23"/>
      <c r="J12" s="23"/>
      <c r="K12" s="23">
        <v>1</v>
      </c>
      <c r="L12" s="23"/>
      <c r="M12" s="23"/>
      <c r="N12" s="23"/>
      <c r="O12" s="23">
        <v>1</v>
      </c>
      <c r="P12" s="23"/>
      <c r="Q12" s="23"/>
      <c r="R12" s="23">
        <f t="shared" si="4"/>
        <v>3</v>
      </c>
    </row>
    <row r="13" spans="1:1012" s="20" customFormat="1" x14ac:dyDescent="0.3">
      <c r="A13" s="23" t="str">
        <f t="shared" si="5"/>
        <v>食品科學系食品科學組</v>
      </c>
      <c r="B13" s="23" t="str">
        <f>"00839003"</f>
        <v>00839003</v>
      </c>
      <c r="C13" s="23" t="str">
        <f>"楊子頡"</f>
        <v>楊子頡</v>
      </c>
      <c r="D13" s="23"/>
      <c r="E13" s="23">
        <v>1</v>
      </c>
      <c r="F13" s="23"/>
      <c r="G13" s="23">
        <v>1</v>
      </c>
      <c r="H13" s="23"/>
      <c r="I13" s="23"/>
      <c r="J13" s="23"/>
      <c r="K13" s="23"/>
      <c r="L13" s="23"/>
      <c r="M13" s="23"/>
      <c r="N13" s="23"/>
      <c r="O13" s="23">
        <v>1</v>
      </c>
      <c r="P13" s="23"/>
      <c r="Q13" s="23"/>
      <c r="R13" s="23">
        <f t="shared" si="4"/>
        <v>3</v>
      </c>
    </row>
    <row r="14" spans="1:1012" s="20" customFormat="1" x14ac:dyDescent="0.3">
      <c r="A14" s="23" t="str">
        <f t="shared" si="5"/>
        <v>食品科學系食品科學組</v>
      </c>
      <c r="B14" s="23" t="str">
        <f>"00839010"</f>
        <v>00839010</v>
      </c>
      <c r="C14" s="23" t="str">
        <f>"陳柏凱"</f>
        <v>陳柏凱</v>
      </c>
      <c r="D14" s="23"/>
      <c r="E14" s="23">
        <v>1</v>
      </c>
      <c r="F14" s="23"/>
      <c r="G14" s="23"/>
      <c r="H14" s="23"/>
      <c r="I14" s="23"/>
      <c r="J14" s="23"/>
      <c r="K14" s="23">
        <v>1</v>
      </c>
      <c r="L14" s="23"/>
      <c r="M14" s="23"/>
      <c r="N14" s="23"/>
      <c r="O14" s="23"/>
      <c r="P14" s="23"/>
      <c r="Q14" s="23"/>
      <c r="R14" s="23">
        <f t="shared" si="4"/>
        <v>2</v>
      </c>
    </row>
    <row r="15" spans="1:1012" s="20" customFormat="1" x14ac:dyDescent="0.3">
      <c r="A15" s="23" t="str">
        <f t="shared" si="5"/>
        <v>食品科學系食品科學組</v>
      </c>
      <c r="B15" s="23" t="str">
        <f>"00839012"</f>
        <v>00839012</v>
      </c>
      <c r="C15" s="23" t="str">
        <f>"李耿函"</f>
        <v>李耿函</v>
      </c>
      <c r="D15" s="23"/>
      <c r="E15" s="23">
        <v>1</v>
      </c>
      <c r="F15" s="23"/>
      <c r="G15" s="23">
        <v>1</v>
      </c>
      <c r="H15" s="23"/>
      <c r="I15" s="23"/>
      <c r="J15" s="23"/>
      <c r="K15" s="23">
        <v>1</v>
      </c>
      <c r="L15" s="23"/>
      <c r="M15" s="23"/>
      <c r="N15" s="23"/>
      <c r="O15" s="23">
        <v>1</v>
      </c>
      <c r="P15" s="23"/>
      <c r="Q15" s="23"/>
      <c r="R15" s="23">
        <f t="shared" si="4"/>
        <v>4</v>
      </c>
    </row>
    <row r="16" spans="1:1012" s="20" customFormat="1" x14ac:dyDescent="0.3">
      <c r="A16" s="23" t="str">
        <f t="shared" si="5"/>
        <v>食品科學系食品科學組</v>
      </c>
      <c r="B16" s="23" t="str">
        <f>"00839014"</f>
        <v>00839014</v>
      </c>
      <c r="C16" s="23" t="str">
        <f>"邱新茹"</f>
        <v>邱新茹</v>
      </c>
      <c r="D16" s="23"/>
      <c r="E16" s="23">
        <v>1</v>
      </c>
      <c r="F16" s="23"/>
      <c r="G16" s="23">
        <v>1</v>
      </c>
      <c r="H16" s="23"/>
      <c r="I16" s="23"/>
      <c r="J16" s="23"/>
      <c r="K16" s="23">
        <v>1</v>
      </c>
      <c r="L16" s="23"/>
      <c r="M16" s="23"/>
      <c r="N16" s="23"/>
      <c r="O16" s="23">
        <v>1</v>
      </c>
      <c r="P16" s="23"/>
      <c r="Q16" s="23"/>
      <c r="R16" s="23">
        <f t="shared" si="4"/>
        <v>4</v>
      </c>
    </row>
    <row r="17" spans="1:18" s="20" customFormat="1" x14ac:dyDescent="0.3">
      <c r="A17" s="23" t="str">
        <f t="shared" si="5"/>
        <v>食品科學系食品科學組</v>
      </c>
      <c r="B17" s="23" t="str">
        <f>"00839016"</f>
        <v>00839016</v>
      </c>
      <c r="C17" s="23" t="str">
        <f>"張雅婷"</f>
        <v>張雅婷</v>
      </c>
      <c r="D17" s="23"/>
      <c r="E17" s="23">
        <v>1</v>
      </c>
      <c r="F17" s="23"/>
      <c r="G17" s="23">
        <v>1</v>
      </c>
      <c r="H17" s="23"/>
      <c r="I17" s="23"/>
      <c r="J17" s="23"/>
      <c r="K17" s="23">
        <v>1</v>
      </c>
      <c r="L17" s="23"/>
      <c r="M17" s="23"/>
      <c r="N17" s="23"/>
      <c r="O17" s="23">
        <v>1</v>
      </c>
      <c r="P17" s="23"/>
      <c r="Q17" s="23"/>
      <c r="R17" s="23">
        <f t="shared" si="4"/>
        <v>4</v>
      </c>
    </row>
    <row r="18" spans="1:18" s="20" customFormat="1" x14ac:dyDescent="0.3">
      <c r="A18" s="23" t="str">
        <f t="shared" si="5"/>
        <v>食品科學系食品科學組</v>
      </c>
      <c r="B18" s="23" t="str">
        <f>"00839019"</f>
        <v>00839019</v>
      </c>
      <c r="C18" s="23" t="str">
        <f>"吳彥琳"</f>
        <v>吳彥琳</v>
      </c>
      <c r="D18" s="23"/>
      <c r="E18" s="23"/>
      <c r="F18" s="23">
        <v>1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>
        <f t="shared" si="4"/>
        <v>1</v>
      </c>
    </row>
    <row r="19" spans="1:18" s="20" customFormat="1" x14ac:dyDescent="0.3">
      <c r="A19" s="23" t="str">
        <f t="shared" si="5"/>
        <v>食品科學系食品科學組</v>
      </c>
      <c r="B19" s="23" t="str">
        <f>"00839020"</f>
        <v>00839020</v>
      </c>
      <c r="C19" s="23" t="str">
        <f>"陳威翰"</f>
        <v>陳威翰</v>
      </c>
      <c r="D19" s="23"/>
      <c r="E19" s="23">
        <v>1</v>
      </c>
      <c r="F19" s="23"/>
      <c r="G19" s="23">
        <v>1</v>
      </c>
      <c r="H19" s="23"/>
      <c r="I19" s="23"/>
      <c r="J19" s="23"/>
      <c r="K19" s="23">
        <v>1</v>
      </c>
      <c r="L19" s="23"/>
      <c r="M19" s="23"/>
      <c r="N19" s="23"/>
      <c r="O19" s="23">
        <v>1</v>
      </c>
      <c r="P19" s="23"/>
      <c r="Q19" s="23"/>
      <c r="R19" s="23">
        <f t="shared" si="4"/>
        <v>4</v>
      </c>
    </row>
    <row r="20" spans="1:18" s="20" customFormat="1" x14ac:dyDescent="0.3">
      <c r="A20" s="23" t="str">
        <f t="shared" si="5"/>
        <v>食品科學系食品科學組</v>
      </c>
      <c r="B20" s="23" t="str">
        <f>"00839021"</f>
        <v>00839021</v>
      </c>
      <c r="C20" s="23" t="str">
        <f>"柯汶伶"</f>
        <v>柯汶伶</v>
      </c>
      <c r="D20" s="23"/>
      <c r="E20" s="23"/>
      <c r="F20" s="23">
        <v>1</v>
      </c>
      <c r="G20" s="23">
        <v>1</v>
      </c>
      <c r="H20" s="23"/>
      <c r="I20" s="23"/>
      <c r="J20" s="23"/>
      <c r="K20" s="23">
        <v>1</v>
      </c>
      <c r="L20" s="23"/>
      <c r="M20" s="23"/>
      <c r="N20" s="23"/>
      <c r="O20" s="23">
        <v>1</v>
      </c>
      <c r="P20" s="23"/>
      <c r="Q20" s="23"/>
      <c r="R20" s="23">
        <f t="shared" si="4"/>
        <v>4</v>
      </c>
    </row>
    <row r="21" spans="1:18" s="20" customFormat="1" x14ac:dyDescent="0.3">
      <c r="A21" s="23" t="str">
        <f t="shared" si="5"/>
        <v>食品科學系食品科學組</v>
      </c>
      <c r="B21" s="23" t="str">
        <f>"00839026"</f>
        <v>00839026</v>
      </c>
      <c r="C21" s="23" t="str">
        <f>"孟楚皓"</f>
        <v>孟楚皓</v>
      </c>
      <c r="D21" s="23"/>
      <c r="E21" s="23"/>
      <c r="F21" s="23">
        <v>1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>
        <f t="shared" si="4"/>
        <v>1</v>
      </c>
    </row>
    <row r="22" spans="1:18" s="20" customFormat="1" x14ac:dyDescent="0.3">
      <c r="A22" s="23" t="str">
        <f t="shared" si="5"/>
        <v>食品科學系食品科學組</v>
      </c>
      <c r="B22" s="23" t="str">
        <f>"00839027"</f>
        <v>00839027</v>
      </c>
      <c r="C22" s="23" t="str">
        <f>"陳品妤"</f>
        <v>陳品妤</v>
      </c>
      <c r="D22" s="23"/>
      <c r="E22" s="23">
        <v>1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>
        <f t="shared" si="4"/>
        <v>1</v>
      </c>
    </row>
    <row r="23" spans="1:18" s="20" customFormat="1" x14ac:dyDescent="0.3">
      <c r="A23" s="23" t="str">
        <f t="shared" si="5"/>
        <v>食品科學系食品科學組</v>
      </c>
      <c r="B23" s="23" t="str">
        <f>"00839029"</f>
        <v>00839029</v>
      </c>
      <c r="C23" s="23" t="str">
        <f>"范馨月"</f>
        <v>范馨月</v>
      </c>
      <c r="D23" s="23"/>
      <c r="E23" s="23">
        <v>1</v>
      </c>
      <c r="F23" s="23"/>
      <c r="G23" s="23"/>
      <c r="H23" s="23"/>
      <c r="I23" s="23"/>
      <c r="J23" s="23"/>
      <c r="K23" s="23">
        <v>1</v>
      </c>
      <c r="L23" s="23"/>
      <c r="M23" s="23"/>
      <c r="N23" s="23"/>
      <c r="O23" s="23">
        <v>1</v>
      </c>
      <c r="P23" s="23"/>
      <c r="Q23" s="23"/>
      <c r="R23" s="23">
        <f t="shared" si="4"/>
        <v>3</v>
      </c>
    </row>
    <row r="24" spans="1:18" s="20" customFormat="1" x14ac:dyDescent="0.3">
      <c r="A24" s="23" t="str">
        <f t="shared" si="5"/>
        <v>食品科學系食品科學組</v>
      </c>
      <c r="B24" s="23" t="str">
        <f>"00839031"</f>
        <v>00839031</v>
      </c>
      <c r="C24" s="23" t="str">
        <f>"林慧婷"</f>
        <v>林慧婷</v>
      </c>
      <c r="D24" s="23"/>
      <c r="E24" s="23">
        <v>1</v>
      </c>
      <c r="F24" s="23"/>
      <c r="G24" s="23">
        <v>1</v>
      </c>
      <c r="H24" s="23"/>
      <c r="I24" s="23"/>
      <c r="J24" s="23">
        <v>1</v>
      </c>
      <c r="K24" s="23"/>
      <c r="L24" s="23"/>
      <c r="M24" s="23"/>
      <c r="N24" s="23"/>
      <c r="O24" s="23">
        <v>1</v>
      </c>
      <c r="P24" s="23"/>
      <c r="Q24" s="23"/>
      <c r="R24" s="23">
        <f t="shared" si="4"/>
        <v>4</v>
      </c>
    </row>
    <row r="25" spans="1:18" s="20" customFormat="1" x14ac:dyDescent="0.3">
      <c r="A25" s="23" t="str">
        <f t="shared" si="5"/>
        <v>食品科學系食品科學組</v>
      </c>
      <c r="B25" s="23" t="str">
        <f>"00839033"</f>
        <v>00839033</v>
      </c>
      <c r="C25" s="23" t="str">
        <f>"蕭任絜"</f>
        <v>蕭任絜</v>
      </c>
      <c r="D25" s="23"/>
      <c r="E25" s="23"/>
      <c r="F25" s="23"/>
      <c r="G25" s="23">
        <v>1</v>
      </c>
      <c r="H25" s="23"/>
      <c r="I25" s="23"/>
      <c r="J25" s="23"/>
      <c r="K25" s="23"/>
      <c r="L25" s="23"/>
      <c r="M25" s="23">
        <v>1</v>
      </c>
      <c r="N25" s="23"/>
      <c r="O25" s="23"/>
      <c r="P25" s="23"/>
      <c r="Q25" s="23"/>
      <c r="R25" s="23">
        <f t="shared" si="4"/>
        <v>2</v>
      </c>
    </row>
    <row r="26" spans="1:18" s="20" customFormat="1" x14ac:dyDescent="0.3">
      <c r="A26" s="23" t="str">
        <f t="shared" si="5"/>
        <v>食品科學系食品科學組</v>
      </c>
      <c r="B26" s="23" t="str">
        <f>"00839034"</f>
        <v>00839034</v>
      </c>
      <c r="C26" s="23" t="str">
        <f>"高建霖"</f>
        <v>高建霖</v>
      </c>
      <c r="D26" s="23"/>
      <c r="E26" s="23"/>
      <c r="F26" s="23"/>
      <c r="G26" s="23"/>
      <c r="H26" s="23"/>
      <c r="I26" s="23"/>
      <c r="J26" s="23"/>
      <c r="K26" s="23">
        <v>1</v>
      </c>
      <c r="L26" s="23"/>
      <c r="M26" s="23"/>
      <c r="N26" s="23"/>
      <c r="O26" s="23"/>
      <c r="P26" s="23"/>
      <c r="Q26" s="23"/>
      <c r="R26" s="23">
        <f t="shared" si="4"/>
        <v>1</v>
      </c>
    </row>
    <row r="27" spans="1:18" s="20" customFormat="1" x14ac:dyDescent="0.3">
      <c r="A27" s="23" t="str">
        <f t="shared" si="5"/>
        <v>食品科學系食品科學組</v>
      </c>
      <c r="B27" s="23" t="str">
        <f>"00839035"</f>
        <v>00839035</v>
      </c>
      <c r="C27" s="23" t="str">
        <f>"陳品瑜"</f>
        <v>陳品瑜</v>
      </c>
      <c r="D27" s="23"/>
      <c r="E27" s="23">
        <v>1</v>
      </c>
      <c r="F27" s="23">
        <v>1</v>
      </c>
      <c r="G27" s="23"/>
      <c r="H27" s="23"/>
      <c r="I27" s="23"/>
      <c r="J27" s="23">
        <v>1</v>
      </c>
      <c r="K27" s="23">
        <v>1</v>
      </c>
      <c r="L27" s="23"/>
      <c r="M27" s="23"/>
      <c r="N27" s="23"/>
      <c r="O27" s="23">
        <v>1</v>
      </c>
      <c r="P27" s="23"/>
      <c r="Q27" s="23"/>
      <c r="R27" s="23">
        <f t="shared" si="4"/>
        <v>5</v>
      </c>
    </row>
    <row r="28" spans="1:18" s="20" customFormat="1" x14ac:dyDescent="0.3">
      <c r="A28" s="23" t="str">
        <f t="shared" si="5"/>
        <v>食品科學系食品科學組</v>
      </c>
      <c r="B28" s="23" t="str">
        <f>"00839038"</f>
        <v>00839038</v>
      </c>
      <c r="C28" s="23" t="str">
        <f>"鄭宇君"</f>
        <v>鄭宇君</v>
      </c>
      <c r="D28" s="23"/>
      <c r="E28" s="23"/>
      <c r="F28" s="23"/>
      <c r="G28" s="23"/>
      <c r="H28" s="23"/>
      <c r="I28" s="23">
        <v>1</v>
      </c>
      <c r="J28" s="23"/>
      <c r="K28" s="23"/>
      <c r="L28" s="23">
        <v>1</v>
      </c>
      <c r="M28" s="23"/>
      <c r="N28" s="23">
        <v>1</v>
      </c>
      <c r="O28" s="23"/>
      <c r="P28" s="23"/>
      <c r="Q28" s="23"/>
      <c r="R28" s="23">
        <f t="shared" si="4"/>
        <v>3</v>
      </c>
    </row>
    <row r="29" spans="1:18" s="20" customFormat="1" x14ac:dyDescent="0.3">
      <c r="A29" s="23" t="str">
        <f t="shared" si="5"/>
        <v>食品科學系食品科學組</v>
      </c>
      <c r="B29" s="23" t="str">
        <f>"00839041"</f>
        <v>00839041</v>
      </c>
      <c r="C29" s="23" t="str">
        <f>"梁安喬"</f>
        <v>梁安喬</v>
      </c>
      <c r="D29" s="23"/>
      <c r="E29" s="23"/>
      <c r="F29" s="23">
        <v>1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>
        <f t="shared" si="4"/>
        <v>1</v>
      </c>
    </row>
    <row r="30" spans="1:18" s="20" customFormat="1" x14ac:dyDescent="0.3">
      <c r="A30" s="23" t="str">
        <f t="shared" si="5"/>
        <v>食品科學系食品科學組</v>
      </c>
      <c r="B30" s="23" t="str">
        <f>"00839042"</f>
        <v>00839042</v>
      </c>
      <c r="C30" s="23" t="str">
        <f>"陳欣汝"</f>
        <v>陳欣汝</v>
      </c>
      <c r="D30" s="23"/>
      <c r="E30" s="23"/>
      <c r="F30" s="23">
        <v>1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>
        <v>1</v>
      </c>
      <c r="R30" s="23">
        <f t="shared" si="4"/>
        <v>2</v>
      </c>
    </row>
    <row r="31" spans="1:18" s="20" customFormat="1" x14ac:dyDescent="0.3">
      <c r="A31" s="23" t="str">
        <f t="shared" si="5"/>
        <v>食品科學系食品科學組</v>
      </c>
      <c r="B31" s="23" t="str">
        <f>"00839046"</f>
        <v>00839046</v>
      </c>
      <c r="C31" s="23" t="str">
        <f>"焦淯汶"</f>
        <v>焦淯汶</v>
      </c>
      <c r="D31" s="23"/>
      <c r="E31" s="23"/>
      <c r="F31" s="23"/>
      <c r="G31" s="23"/>
      <c r="H31" s="23"/>
      <c r="I31" s="23">
        <v>1</v>
      </c>
      <c r="J31" s="23"/>
      <c r="K31" s="23"/>
      <c r="L31" s="23"/>
      <c r="M31" s="23"/>
      <c r="N31" s="23"/>
      <c r="O31" s="23"/>
      <c r="P31" s="23"/>
      <c r="Q31" s="23">
        <v>1</v>
      </c>
      <c r="R31" s="23">
        <f t="shared" si="4"/>
        <v>2</v>
      </c>
    </row>
    <row r="32" spans="1:18" s="20" customFormat="1" x14ac:dyDescent="0.3">
      <c r="A32" s="23" t="str">
        <f t="shared" si="5"/>
        <v>食品科學系食品科學組</v>
      </c>
      <c r="B32" s="23" t="str">
        <f>"00839048"</f>
        <v>00839048</v>
      </c>
      <c r="C32" s="23" t="str">
        <f>"高政煜"</f>
        <v>高政煜</v>
      </c>
      <c r="D32" s="23"/>
      <c r="E32" s="23">
        <v>1</v>
      </c>
      <c r="F32" s="23">
        <v>1</v>
      </c>
      <c r="G32" s="23">
        <v>1</v>
      </c>
      <c r="H32" s="23">
        <v>1</v>
      </c>
      <c r="I32" s="23">
        <v>1</v>
      </c>
      <c r="J32" s="23"/>
      <c r="K32" s="23">
        <v>1</v>
      </c>
      <c r="L32" s="23"/>
      <c r="M32" s="23"/>
      <c r="N32" s="23"/>
      <c r="O32" s="23"/>
      <c r="P32" s="23">
        <v>1</v>
      </c>
      <c r="Q32" s="23"/>
      <c r="R32" s="23">
        <f t="shared" si="4"/>
        <v>7</v>
      </c>
    </row>
    <row r="33" spans="1:18" s="20" customFormat="1" x14ac:dyDescent="0.3">
      <c r="A33" s="23" t="str">
        <f t="shared" si="5"/>
        <v>食品科學系食品科學組</v>
      </c>
      <c r="B33" s="23" t="str">
        <f>"00839049"</f>
        <v>00839049</v>
      </c>
      <c r="C33" s="23" t="str">
        <f>"薛慧?"</f>
        <v>薛慧?</v>
      </c>
      <c r="D33" s="23"/>
      <c r="E33" s="23"/>
      <c r="F33" s="23">
        <v>1</v>
      </c>
      <c r="G33" s="23"/>
      <c r="H33" s="23">
        <v>1</v>
      </c>
      <c r="I33" s="23"/>
      <c r="J33" s="23"/>
      <c r="K33" s="23"/>
      <c r="L33" s="23">
        <v>1</v>
      </c>
      <c r="M33" s="23"/>
      <c r="N33" s="23"/>
      <c r="O33" s="23"/>
      <c r="P33" s="23">
        <v>1</v>
      </c>
      <c r="Q33" s="23"/>
      <c r="R33" s="23">
        <f t="shared" si="4"/>
        <v>4</v>
      </c>
    </row>
    <row r="34" spans="1:18" s="20" customFormat="1" x14ac:dyDescent="0.3">
      <c r="A34" s="23" t="str">
        <f t="shared" si="5"/>
        <v>食品科學系食品科學組</v>
      </c>
      <c r="B34" s="23" t="str">
        <f>"00839050"</f>
        <v>00839050</v>
      </c>
      <c r="C34" s="23" t="str">
        <f>"?美玲"</f>
        <v>?美玲</v>
      </c>
      <c r="D34" s="23"/>
      <c r="E34" s="23"/>
      <c r="F34" s="23">
        <v>1</v>
      </c>
      <c r="G34" s="23"/>
      <c r="H34" s="23">
        <v>1</v>
      </c>
      <c r="I34" s="23"/>
      <c r="J34" s="23"/>
      <c r="K34" s="23"/>
      <c r="L34" s="23">
        <v>1</v>
      </c>
      <c r="M34" s="23"/>
      <c r="N34" s="23"/>
      <c r="O34" s="23"/>
      <c r="P34" s="23">
        <v>1</v>
      </c>
      <c r="Q34" s="23"/>
      <c r="R34" s="23">
        <f t="shared" si="4"/>
        <v>4</v>
      </c>
    </row>
    <row r="35" spans="1:18" s="20" customFormat="1" x14ac:dyDescent="0.3">
      <c r="A35" s="23" t="str">
        <f t="shared" si="5"/>
        <v>食品科學系食品科學組</v>
      </c>
      <c r="B35" s="23" t="str">
        <f>"00839057"</f>
        <v>00839057</v>
      </c>
      <c r="C35" s="23" t="str">
        <f>"伯如玉"</f>
        <v>伯如玉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>
        <v>1</v>
      </c>
      <c r="P35" s="23"/>
      <c r="Q35" s="23"/>
      <c r="R35" s="23">
        <f t="shared" ref="R35:R67" si="6">SUM(D35:Q35)</f>
        <v>1</v>
      </c>
    </row>
    <row r="36" spans="1:18" s="20" customFormat="1" x14ac:dyDescent="0.3">
      <c r="A36" s="23" t="str">
        <f t="shared" si="5"/>
        <v>食品科學系食品科學組</v>
      </c>
      <c r="B36" s="23" t="str">
        <f>"00839058"</f>
        <v>00839058</v>
      </c>
      <c r="C36" s="23" t="str">
        <f>"薛慧蘭"</f>
        <v>薛慧蘭</v>
      </c>
      <c r="D36" s="23"/>
      <c r="E36" s="23"/>
      <c r="F36" s="23">
        <v>1</v>
      </c>
      <c r="G36" s="23"/>
      <c r="H36" s="23">
        <v>1</v>
      </c>
      <c r="I36" s="23"/>
      <c r="J36" s="23"/>
      <c r="K36" s="23"/>
      <c r="L36" s="23">
        <v>1</v>
      </c>
      <c r="M36" s="23"/>
      <c r="N36" s="23"/>
      <c r="O36" s="23"/>
      <c r="P36" s="23">
        <v>1</v>
      </c>
      <c r="Q36" s="23"/>
      <c r="R36" s="23">
        <f t="shared" si="6"/>
        <v>4</v>
      </c>
    </row>
    <row r="37" spans="1:18" s="20" customFormat="1" x14ac:dyDescent="0.3">
      <c r="A37" s="23" t="str">
        <f t="shared" si="5"/>
        <v>食品科學系食品科學組</v>
      </c>
      <c r="B37" s="23" t="str">
        <f>"00839060"</f>
        <v>00839060</v>
      </c>
      <c r="C37" s="23" t="str">
        <f>"區瑆栗"</f>
        <v>區瑆栗</v>
      </c>
      <c r="D37" s="23"/>
      <c r="E37" s="23"/>
      <c r="F37" s="23">
        <v>1</v>
      </c>
      <c r="G37" s="23"/>
      <c r="H37" s="23">
        <v>1</v>
      </c>
      <c r="I37" s="23"/>
      <c r="J37" s="23"/>
      <c r="K37" s="23"/>
      <c r="L37" s="23">
        <v>1</v>
      </c>
      <c r="M37" s="23"/>
      <c r="N37" s="23"/>
      <c r="O37" s="23"/>
      <c r="P37" s="23"/>
      <c r="Q37" s="23"/>
      <c r="R37" s="23">
        <f t="shared" si="6"/>
        <v>3</v>
      </c>
    </row>
    <row r="38" spans="1:18" s="20" customFormat="1" x14ac:dyDescent="0.3">
      <c r="A38" s="23" t="str">
        <f t="shared" si="5"/>
        <v>食品科學系食品科學組</v>
      </c>
      <c r="B38" s="23" t="str">
        <f>"00839061"</f>
        <v>00839061</v>
      </c>
      <c r="C38" s="23" t="str">
        <f>"鄭惠文"</f>
        <v>鄭惠文</v>
      </c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3"/>
      <c r="P38" s="23"/>
      <c r="Q38" s="23"/>
      <c r="R38" s="23">
        <f t="shared" si="6"/>
        <v>1</v>
      </c>
    </row>
    <row r="39" spans="1:18" s="20" customFormat="1" x14ac:dyDescent="0.3">
      <c r="A39" s="23" t="str">
        <f t="shared" si="5"/>
        <v>食品科學系食品科學組</v>
      </c>
      <c r="B39" s="23" t="str">
        <f>"00839062"</f>
        <v>00839062</v>
      </c>
      <c r="C39" s="23" t="str">
        <f>"關方銀"</f>
        <v>關方銀</v>
      </c>
      <c r="D39" s="23"/>
      <c r="E39" s="23"/>
      <c r="F39" s="23">
        <v>1</v>
      </c>
      <c r="G39" s="23"/>
      <c r="H39" s="23">
        <v>1</v>
      </c>
      <c r="I39" s="23"/>
      <c r="J39" s="23"/>
      <c r="K39" s="23"/>
      <c r="L39" s="23">
        <v>1</v>
      </c>
      <c r="M39" s="23"/>
      <c r="N39" s="23"/>
      <c r="O39" s="23"/>
      <c r="P39" s="23"/>
      <c r="Q39" s="23"/>
      <c r="R39" s="23">
        <f t="shared" si="6"/>
        <v>3</v>
      </c>
    </row>
    <row r="40" spans="1:18" s="20" customFormat="1" x14ac:dyDescent="0.3">
      <c r="A40" s="23" t="str">
        <f t="shared" si="5"/>
        <v>食品科學系食品科學組</v>
      </c>
      <c r="B40" s="23" t="str">
        <f>"00839063"</f>
        <v>00839063</v>
      </c>
      <c r="C40" s="23" t="str">
        <f>"李唯暢"</f>
        <v>李唯暢</v>
      </c>
      <c r="D40" s="23"/>
      <c r="E40" s="23">
        <v>1</v>
      </c>
      <c r="F40" s="23"/>
      <c r="G40" s="23">
        <v>1</v>
      </c>
      <c r="H40" s="23"/>
      <c r="I40" s="23"/>
      <c r="J40" s="23"/>
      <c r="K40" s="23"/>
      <c r="L40" s="23"/>
      <c r="M40" s="23"/>
      <c r="N40" s="23"/>
      <c r="O40" s="23">
        <v>1</v>
      </c>
      <c r="P40" s="23"/>
      <c r="Q40" s="23"/>
      <c r="R40" s="23">
        <f t="shared" si="6"/>
        <v>3</v>
      </c>
    </row>
    <row r="41" spans="1:18" s="20" customFormat="1" x14ac:dyDescent="0.3">
      <c r="A41" s="23" t="str">
        <f t="shared" ref="A41:A67" si="7">"食品科學系生物科技組"</f>
        <v>食品科學系生物科技組</v>
      </c>
      <c r="B41" s="23" t="str">
        <f>"0083A001"</f>
        <v>0083A001</v>
      </c>
      <c r="C41" s="23" t="str">
        <f>"廖柏源"</f>
        <v>廖柏源</v>
      </c>
      <c r="D41" s="23"/>
      <c r="E41" s="23"/>
      <c r="F41" s="23"/>
      <c r="G41" s="23"/>
      <c r="H41" s="23"/>
      <c r="I41" s="23"/>
      <c r="J41" s="23">
        <v>1</v>
      </c>
      <c r="K41" s="23"/>
      <c r="L41" s="23"/>
      <c r="M41" s="23"/>
      <c r="N41" s="23"/>
      <c r="O41" s="23"/>
      <c r="P41" s="23"/>
      <c r="Q41" s="23"/>
      <c r="R41" s="23">
        <f t="shared" si="6"/>
        <v>1</v>
      </c>
    </row>
    <row r="42" spans="1:18" s="20" customFormat="1" x14ac:dyDescent="0.3">
      <c r="A42" s="23" t="str">
        <f t="shared" si="7"/>
        <v>食品科學系生物科技組</v>
      </c>
      <c r="B42" s="23" t="str">
        <f>"0083A005"</f>
        <v>0083A005</v>
      </c>
      <c r="C42" s="23" t="str">
        <f>"許芷菱"</f>
        <v>許芷菱</v>
      </c>
      <c r="D42" s="23"/>
      <c r="E42" s="23">
        <v>1</v>
      </c>
      <c r="F42" s="23"/>
      <c r="G42" s="23">
        <v>1</v>
      </c>
      <c r="H42" s="23"/>
      <c r="I42" s="23"/>
      <c r="J42" s="23"/>
      <c r="K42" s="23">
        <v>1</v>
      </c>
      <c r="L42" s="23"/>
      <c r="M42" s="23"/>
      <c r="N42" s="23"/>
      <c r="O42" s="23">
        <v>1</v>
      </c>
      <c r="P42" s="23"/>
      <c r="Q42" s="23"/>
      <c r="R42" s="23">
        <f t="shared" si="6"/>
        <v>4</v>
      </c>
    </row>
    <row r="43" spans="1:18" s="20" customFormat="1" x14ac:dyDescent="0.3">
      <c r="A43" s="23" t="str">
        <f t="shared" si="7"/>
        <v>食品科學系生物科技組</v>
      </c>
      <c r="B43" s="23" t="str">
        <f>"0083A007"</f>
        <v>0083A007</v>
      </c>
      <c r="C43" s="23" t="str">
        <f>"王歆語"</f>
        <v>王歆語</v>
      </c>
      <c r="D43" s="23"/>
      <c r="E43" s="23">
        <v>1</v>
      </c>
      <c r="F43" s="23"/>
      <c r="G43" s="23"/>
      <c r="H43" s="23"/>
      <c r="I43" s="23"/>
      <c r="J43" s="23"/>
      <c r="K43" s="23">
        <v>1</v>
      </c>
      <c r="L43" s="23"/>
      <c r="M43" s="23"/>
      <c r="N43" s="23"/>
      <c r="O43" s="23">
        <v>1</v>
      </c>
      <c r="P43" s="23"/>
      <c r="Q43" s="23"/>
      <c r="R43" s="23">
        <f t="shared" si="6"/>
        <v>3</v>
      </c>
    </row>
    <row r="44" spans="1:18" s="20" customFormat="1" x14ac:dyDescent="0.3">
      <c r="A44" s="23" t="str">
        <f t="shared" si="7"/>
        <v>食品科學系生物科技組</v>
      </c>
      <c r="B44" s="23" t="str">
        <f>"0083A008"</f>
        <v>0083A008</v>
      </c>
      <c r="C44" s="23" t="str">
        <f>"陳凌安"</f>
        <v>陳凌安</v>
      </c>
      <c r="D44" s="23"/>
      <c r="E44" s="23"/>
      <c r="F44" s="23">
        <v>1</v>
      </c>
      <c r="G44" s="23"/>
      <c r="H44" s="23"/>
      <c r="I44" s="23"/>
      <c r="J44" s="23">
        <v>1</v>
      </c>
      <c r="K44" s="23"/>
      <c r="L44" s="23"/>
      <c r="M44" s="23"/>
      <c r="N44" s="23">
        <v>1</v>
      </c>
      <c r="O44" s="23"/>
      <c r="P44" s="23"/>
      <c r="Q44" s="23"/>
      <c r="R44" s="23">
        <f t="shared" si="6"/>
        <v>3</v>
      </c>
    </row>
    <row r="45" spans="1:18" s="20" customFormat="1" x14ac:dyDescent="0.3">
      <c r="A45" s="23" t="str">
        <f t="shared" si="7"/>
        <v>食品科學系生物科技組</v>
      </c>
      <c r="B45" s="23" t="str">
        <f>"0083A010"</f>
        <v>0083A010</v>
      </c>
      <c r="C45" s="23" t="str">
        <f>"廖柔茜"</f>
        <v>廖柔茜</v>
      </c>
      <c r="D45" s="23"/>
      <c r="E45" s="23">
        <v>1</v>
      </c>
      <c r="F45" s="23"/>
      <c r="G45" s="23">
        <v>1</v>
      </c>
      <c r="H45" s="23"/>
      <c r="I45" s="23"/>
      <c r="J45" s="23"/>
      <c r="K45" s="23">
        <v>1</v>
      </c>
      <c r="L45" s="23"/>
      <c r="M45" s="23"/>
      <c r="N45" s="23"/>
      <c r="O45" s="23">
        <v>1</v>
      </c>
      <c r="P45" s="23"/>
      <c r="Q45" s="23"/>
      <c r="R45" s="23">
        <f t="shared" si="6"/>
        <v>4</v>
      </c>
    </row>
    <row r="46" spans="1:18" s="20" customFormat="1" x14ac:dyDescent="0.3">
      <c r="A46" s="23" t="str">
        <f t="shared" si="7"/>
        <v>食品科學系生物科技組</v>
      </c>
      <c r="B46" s="23" t="str">
        <f>"0083A012"</f>
        <v>0083A012</v>
      </c>
      <c r="C46" s="23" t="str">
        <f>"吳欣穎"</f>
        <v>吳欣穎</v>
      </c>
      <c r="D46" s="23"/>
      <c r="E46" s="23">
        <v>1</v>
      </c>
      <c r="F46" s="23"/>
      <c r="G46" s="23"/>
      <c r="H46" s="23"/>
      <c r="I46" s="23"/>
      <c r="J46" s="23"/>
      <c r="K46" s="23">
        <v>1</v>
      </c>
      <c r="L46" s="23"/>
      <c r="M46" s="23"/>
      <c r="N46" s="23"/>
      <c r="O46" s="23">
        <v>1</v>
      </c>
      <c r="P46" s="23"/>
      <c r="Q46" s="23"/>
      <c r="R46" s="23">
        <f t="shared" si="6"/>
        <v>3</v>
      </c>
    </row>
    <row r="47" spans="1:18" s="20" customFormat="1" x14ac:dyDescent="0.3">
      <c r="A47" s="23" t="str">
        <f t="shared" si="7"/>
        <v>食品科學系生物科技組</v>
      </c>
      <c r="B47" s="23" t="str">
        <f>"0083A013"</f>
        <v>0083A013</v>
      </c>
      <c r="C47" s="23" t="str">
        <f>"李偉誠"</f>
        <v>李偉誠</v>
      </c>
      <c r="D47" s="23"/>
      <c r="E47" s="23">
        <v>1</v>
      </c>
      <c r="F47" s="23"/>
      <c r="G47" s="23">
        <v>1</v>
      </c>
      <c r="H47" s="23"/>
      <c r="I47" s="23"/>
      <c r="J47" s="23"/>
      <c r="K47" s="23">
        <v>1</v>
      </c>
      <c r="L47" s="23"/>
      <c r="M47" s="23"/>
      <c r="N47" s="23"/>
      <c r="O47" s="23">
        <v>1</v>
      </c>
      <c r="P47" s="23"/>
      <c r="Q47" s="23"/>
      <c r="R47" s="23">
        <f t="shared" si="6"/>
        <v>4</v>
      </c>
    </row>
    <row r="48" spans="1:18" s="20" customFormat="1" x14ac:dyDescent="0.3">
      <c r="A48" s="23" t="str">
        <f t="shared" si="7"/>
        <v>食品科學系生物科技組</v>
      </c>
      <c r="B48" s="23" t="str">
        <f>"0083A014"</f>
        <v>0083A014</v>
      </c>
      <c r="C48" s="23" t="str">
        <f>"趙斌全"</f>
        <v>趙斌全</v>
      </c>
      <c r="D48" s="23"/>
      <c r="E48" s="23">
        <v>1</v>
      </c>
      <c r="F48" s="23"/>
      <c r="G48" s="23">
        <v>1</v>
      </c>
      <c r="H48" s="23"/>
      <c r="I48" s="23"/>
      <c r="J48" s="23"/>
      <c r="K48" s="23">
        <v>1</v>
      </c>
      <c r="L48" s="23"/>
      <c r="M48" s="23"/>
      <c r="N48" s="23"/>
      <c r="O48" s="23">
        <v>1</v>
      </c>
      <c r="P48" s="23"/>
      <c r="Q48" s="23"/>
      <c r="R48" s="23">
        <f t="shared" si="6"/>
        <v>4</v>
      </c>
    </row>
    <row r="49" spans="1:18" s="20" customFormat="1" x14ac:dyDescent="0.3">
      <c r="A49" s="23" t="str">
        <f t="shared" si="7"/>
        <v>食品科學系生物科技組</v>
      </c>
      <c r="B49" s="23" t="str">
        <f>"0083A015"</f>
        <v>0083A015</v>
      </c>
      <c r="C49" s="23" t="str">
        <f>"江姍"</f>
        <v>江姍</v>
      </c>
      <c r="D49" s="23"/>
      <c r="E49" s="23"/>
      <c r="F49" s="23"/>
      <c r="G49" s="23">
        <v>1</v>
      </c>
      <c r="H49" s="23"/>
      <c r="I49" s="23"/>
      <c r="J49" s="23"/>
      <c r="K49" s="23"/>
      <c r="L49" s="23"/>
      <c r="M49" s="23"/>
      <c r="N49" s="23"/>
      <c r="O49" s="23">
        <v>1</v>
      </c>
      <c r="P49" s="23"/>
      <c r="Q49" s="23"/>
      <c r="R49" s="23">
        <f t="shared" si="6"/>
        <v>2</v>
      </c>
    </row>
    <row r="50" spans="1:18" s="20" customFormat="1" x14ac:dyDescent="0.3">
      <c r="A50" s="23" t="str">
        <f t="shared" si="7"/>
        <v>食品科學系生物科技組</v>
      </c>
      <c r="B50" s="23" t="str">
        <f>"0083A016"</f>
        <v>0083A016</v>
      </c>
      <c r="C50" s="23" t="str">
        <f>"李岢臻"</f>
        <v>李岢臻</v>
      </c>
      <c r="D50" s="23"/>
      <c r="E50" s="23">
        <v>1</v>
      </c>
      <c r="F50" s="23"/>
      <c r="G50" s="23">
        <v>1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>
        <f t="shared" si="6"/>
        <v>2</v>
      </c>
    </row>
    <row r="51" spans="1:18" s="20" customFormat="1" x14ac:dyDescent="0.3">
      <c r="A51" s="23" t="str">
        <f t="shared" si="7"/>
        <v>食品科學系生物科技組</v>
      </c>
      <c r="B51" s="23" t="str">
        <f>"0083A017"</f>
        <v>0083A017</v>
      </c>
      <c r="C51" s="23" t="str">
        <f>"陳粹"</f>
        <v>陳粹</v>
      </c>
      <c r="D51" s="23"/>
      <c r="E51" s="23"/>
      <c r="F51" s="23"/>
      <c r="G51" s="23"/>
      <c r="H51" s="23"/>
      <c r="I51" s="23">
        <v>1</v>
      </c>
      <c r="J51" s="23"/>
      <c r="K51" s="23"/>
      <c r="L51" s="23"/>
      <c r="M51" s="23"/>
      <c r="N51" s="23"/>
      <c r="O51" s="23"/>
      <c r="P51" s="23"/>
      <c r="Q51" s="23"/>
      <c r="R51" s="23">
        <f t="shared" si="6"/>
        <v>1</v>
      </c>
    </row>
    <row r="52" spans="1:18" s="20" customFormat="1" x14ac:dyDescent="0.3">
      <c r="A52" s="23" t="str">
        <f t="shared" si="7"/>
        <v>食品科學系生物科技組</v>
      </c>
      <c r="B52" s="23" t="str">
        <f>"0083A018"</f>
        <v>0083A018</v>
      </c>
      <c r="C52" s="23" t="str">
        <f>"林力欣"</f>
        <v>林力欣</v>
      </c>
      <c r="D52" s="23"/>
      <c r="E52" s="23"/>
      <c r="F52" s="23">
        <v>1</v>
      </c>
      <c r="G52" s="23"/>
      <c r="H52" s="23"/>
      <c r="I52" s="23"/>
      <c r="J52" s="23">
        <v>1</v>
      </c>
      <c r="K52" s="23"/>
      <c r="L52" s="23"/>
      <c r="M52" s="23"/>
      <c r="N52" s="23"/>
      <c r="O52" s="23"/>
      <c r="P52" s="23"/>
      <c r="Q52" s="23"/>
      <c r="R52" s="23">
        <f t="shared" si="6"/>
        <v>2</v>
      </c>
    </row>
    <row r="53" spans="1:18" s="20" customFormat="1" x14ac:dyDescent="0.3">
      <c r="A53" s="23" t="str">
        <f t="shared" si="7"/>
        <v>食品科學系生物科技組</v>
      </c>
      <c r="B53" s="23" t="str">
        <f>"0083A019"</f>
        <v>0083A019</v>
      </c>
      <c r="C53" s="23" t="str">
        <f>"桑允禕"</f>
        <v>桑允禕</v>
      </c>
      <c r="D53" s="23"/>
      <c r="E53" s="23"/>
      <c r="F53" s="23">
        <v>1</v>
      </c>
      <c r="G53" s="23"/>
      <c r="H53" s="23"/>
      <c r="I53" s="23"/>
      <c r="J53" s="23">
        <v>1</v>
      </c>
      <c r="K53" s="23"/>
      <c r="L53" s="23"/>
      <c r="M53" s="23"/>
      <c r="N53" s="23">
        <v>1</v>
      </c>
      <c r="O53" s="23"/>
      <c r="P53" s="23"/>
      <c r="Q53" s="23"/>
      <c r="R53" s="23">
        <f t="shared" si="6"/>
        <v>3</v>
      </c>
    </row>
    <row r="54" spans="1:18" s="20" customFormat="1" x14ac:dyDescent="0.3">
      <c r="A54" s="23" t="str">
        <f t="shared" si="7"/>
        <v>食品科學系生物科技組</v>
      </c>
      <c r="B54" s="23" t="str">
        <f>"0083A023"</f>
        <v>0083A023</v>
      </c>
      <c r="C54" s="23" t="str">
        <f>"盧冠穎"</f>
        <v>盧冠穎</v>
      </c>
      <c r="D54" s="23"/>
      <c r="E54" s="23"/>
      <c r="F54" s="23">
        <v>1</v>
      </c>
      <c r="G54" s="23"/>
      <c r="H54" s="23"/>
      <c r="I54" s="23"/>
      <c r="J54" s="23">
        <v>1</v>
      </c>
      <c r="K54" s="23">
        <v>1</v>
      </c>
      <c r="L54" s="23"/>
      <c r="M54" s="23"/>
      <c r="N54" s="23"/>
      <c r="O54" s="23"/>
      <c r="P54" s="23"/>
      <c r="Q54" s="23"/>
      <c r="R54" s="23">
        <f t="shared" si="6"/>
        <v>3</v>
      </c>
    </row>
    <row r="55" spans="1:18" s="20" customFormat="1" x14ac:dyDescent="0.3">
      <c r="A55" s="23" t="str">
        <f t="shared" si="7"/>
        <v>食品科學系生物科技組</v>
      </c>
      <c r="B55" s="23" t="str">
        <f>"0083A025"</f>
        <v>0083A025</v>
      </c>
      <c r="C55" s="23" t="str">
        <f>"潘雅玲"</f>
        <v>潘雅玲</v>
      </c>
      <c r="D55" s="23"/>
      <c r="E55" s="23"/>
      <c r="F55" s="23"/>
      <c r="G55" s="23"/>
      <c r="H55" s="23"/>
      <c r="I55" s="23">
        <v>1</v>
      </c>
      <c r="J55" s="23"/>
      <c r="K55" s="23"/>
      <c r="L55" s="23"/>
      <c r="M55" s="23"/>
      <c r="N55" s="23"/>
      <c r="O55" s="23"/>
      <c r="P55" s="23"/>
      <c r="Q55" s="23"/>
      <c r="R55" s="23">
        <f t="shared" si="6"/>
        <v>1</v>
      </c>
    </row>
    <row r="56" spans="1:18" s="20" customFormat="1" x14ac:dyDescent="0.3">
      <c r="A56" s="23" t="str">
        <f t="shared" si="7"/>
        <v>食品科學系生物科技組</v>
      </c>
      <c r="B56" s="23" t="str">
        <f>"0083A026"</f>
        <v>0083A026</v>
      </c>
      <c r="C56" s="23" t="str">
        <f>"周妤柔"</f>
        <v>周妤柔</v>
      </c>
      <c r="D56" s="23"/>
      <c r="E56" s="23">
        <v>1</v>
      </c>
      <c r="F56" s="23"/>
      <c r="G56" s="23">
        <v>1</v>
      </c>
      <c r="H56" s="23"/>
      <c r="I56" s="23"/>
      <c r="J56" s="23"/>
      <c r="K56" s="23">
        <v>1</v>
      </c>
      <c r="L56" s="23"/>
      <c r="M56" s="23"/>
      <c r="N56" s="23"/>
      <c r="O56" s="23">
        <v>1</v>
      </c>
      <c r="P56" s="23"/>
      <c r="Q56" s="23"/>
      <c r="R56" s="23">
        <f t="shared" si="6"/>
        <v>4</v>
      </c>
    </row>
    <row r="57" spans="1:18" s="20" customFormat="1" x14ac:dyDescent="0.3">
      <c r="A57" s="23" t="str">
        <f t="shared" si="7"/>
        <v>食品科學系生物科技組</v>
      </c>
      <c r="B57" s="23" t="str">
        <f>"0083A027"</f>
        <v>0083A027</v>
      </c>
      <c r="C57" s="23" t="str">
        <f>"劉鎮宇"</f>
        <v>劉鎮宇</v>
      </c>
      <c r="D57" s="23"/>
      <c r="E57" s="23"/>
      <c r="F57" s="23"/>
      <c r="G57" s="23"/>
      <c r="H57" s="23"/>
      <c r="I57" s="23"/>
      <c r="J57" s="23"/>
      <c r="K57" s="23">
        <v>1</v>
      </c>
      <c r="L57" s="23"/>
      <c r="M57" s="23"/>
      <c r="N57" s="23"/>
      <c r="O57" s="23"/>
      <c r="P57" s="23"/>
      <c r="Q57" s="23"/>
      <c r="R57" s="23">
        <f t="shared" si="6"/>
        <v>1</v>
      </c>
    </row>
    <row r="58" spans="1:18" s="20" customFormat="1" x14ac:dyDescent="0.3">
      <c r="A58" s="23" t="str">
        <f t="shared" si="7"/>
        <v>食品科學系生物科技組</v>
      </c>
      <c r="B58" s="23" t="str">
        <f>"0083A028"</f>
        <v>0083A028</v>
      </c>
      <c r="C58" s="23" t="str">
        <f>"張可璇"</f>
        <v>張可璇</v>
      </c>
      <c r="D58" s="23"/>
      <c r="E58" s="23">
        <v>1</v>
      </c>
      <c r="F58" s="23"/>
      <c r="G58" s="23">
        <v>1</v>
      </c>
      <c r="H58" s="23"/>
      <c r="I58" s="23"/>
      <c r="J58" s="23"/>
      <c r="K58" s="23">
        <v>1</v>
      </c>
      <c r="L58" s="23"/>
      <c r="M58" s="23"/>
      <c r="N58" s="23"/>
      <c r="O58" s="23">
        <v>1</v>
      </c>
      <c r="P58" s="23"/>
      <c r="Q58" s="23"/>
      <c r="R58" s="23">
        <f t="shared" si="6"/>
        <v>4</v>
      </c>
    </row>
    <row r="59" spans="1:18" s="20" customFormat="1" x14ac:dyDescent="0.3">
      <c r="A59" s="23" t="str">
        <f t="shared" si="7"/>
        <v>食品科學系生物科技組</v>
      </c>
      <c r="B59" s="23" t="str">
        <f>"0083A030"</f>
        <v>0083A030</v>
      </c>
      <c r="C59" s="23" t="str">
        <f>"莊庭瑜"</f>
        <v>莊庭瑜</v>
      </c>
      <c r="D59" s="23"/>
      <c r="E59" s="23">
        <v>1</v>
      </c>
      <c r="F59" s="23"/>
      <c r="G59" s="23">
        <v>1</v>
      </c>
      <c r="H59" s="23"/>
      <c r="I59" s="23"/>
      <c r="J59" s="23"/>
      <c r="K59" s="23">
        <v>1</v>
      </c>
      <c r="L59" s="23"/>
      <c r="M59" s="23"/>
      <c r="N59" s="23"/>
      <c r="O59" s="23">
        <v>1</v>
      </c>
      <c r="P59" s="23"/>
      <c r="Q59" s="23"/>
      <c r="R59" s="23">
        <f t="shared" si="6"/>
        <v>4</v>
      </c>
    </row>
    <row r="60" spans="1:18" s="20" customFormat="1" x14ac:dyDescent="0.3">
      <c r="A60" s="23" t="str">
        <f t="shared" si="7"/>
        <v>食品科學系生物科技組</v>
      </c>
      <c r="B60" s="23" t="str">
        <f>"0083A031"</f>
        <v>0083A031</v>
      </c>
      <c r="C60" s="23" t="str">
        <f>"郭芷妤"</f>
        <v>郭芷妤</v>
      </c>
      <c r="D60" s="23"/>
      <c r="E60" s="23"/>
      <c r="F60" s="23">
        <v>1</v>
      </c>
      <c r="G60" s="23">
        <v>1</v>
      </c>
      <c r="H60" s="23"/>
      <c r="I60" s="23"/>
      <c r="J60" s="23"/>
      <c r="K60" s="23">
        <v>1</v>
      </c>
      <c r="L60" s="23"/>
      <c r="M60" s="23"/>
      <c r="N60" s="23"/>
      <c r="O60" s="23">
        <v>1</v>
      </c>
      <c r="P60" s="23"/>
      <c r="Q60" s="23"/>
      <c r="R60" s="23">
        <f t="shared" si="6"/>
        <v>4</v>
      </c>
    </row>
    <row r="61" spans="1:18" s="20" customFormat="1" x14ac:dyDescent="0.3">
      <c r="A61" s="23" t="str">
        <f t="shared" si="7"/>
        <v>食品科學系生物科技組</v>
      </c>
      <c r="B61" s="23" t="str">
        <f>"0083A035"</f>
        <v>0083A035</v>
      </c>
      <c r="C61" s="23" t="str">
        <f>"趙偉辰"</f>
        <v>趙偉辰</v>
      </c>
      <c r="D61" s="23"/>
      <c r="E61" s="23">
        <v>1</v>
      </c>
      <c r="F61" s="23"/>
      <c r="G61" s="23">
        <v>1</v>
      </c>
      <c r="H61" s="23"/>
      <c r="I61" s="23"/>
      <c r="J61" s="23"/>
      <c r="K61" s="23">
        <v>1</v>
      </c>
      <c r="L61" s="23"/>
      <c r="M61" s="23"/>
      <c r="N61" s="23"/>
      <c r="O61" s="23">
        <v>1</v>
      </c>
      <c r="P61" s="23"/>
      <c r="Q61" s="23"/>
      <c r="R61" s="23">
        <f t="shared" si="6"/>
        <v>4</v>
      </c>
    </row>
    <row r="62" spans="1:18" s="20" customFormat="1" x14ac:dyDescent="0.3">
      <c r="A62" s="23" t="str">
        <f t="shared" si="7"/>
        <v>食品科學系生物科技組</v>
      </c>
      <c r="B62" s="23" t="str">
        <f>"0083A038"</f>
        <v>0083A038</v>
      </c>
      <c r="C62" s="23" t="str">
        <f>"陳瑞均"</f>
        <v>陳瑞均</v>
      </c>
      <c r="D62" s="23"/>
      <c r="E62" s="23"/>
      <c r="F62" s="23"/>
      <c r="G62" s="23"/>
      <c r="H62" s="23"/>
      <c r="I62" s="23"/>
      <c r="J62" s="23">
        <v>1</v>
      </c>
      <c r="K62" s="23">
        <v>1</v>
      </c>
      <c r="L62" s="23"/>
      <c r="M62" s="23"/>
      <c r="N62" s="23"/>
      <c r="O62" s="23"/>
      <c r="P62" s="23"/>
      <c r="Q62" s="23"/>
      <c r="R62" s="23">
        <f t="shared" si="6"/>
        <v>2</v>
      </c>
    </row>
    <row r="63" spans="1:18" s="20" customFormat="1" x14ac:dyDescent="0.3">
      <c r="A63" s="23" t="str">
        <f t="shared" si="7"/>
        <v>食品科學系生物科技組</v>
      </c>
      <c r="B63" s="23" t="str">
        <f>"0083A039"</f>
        <v>0083A039</v>
      </c>
      <c r="C63" s="23" t="str">
        <f>"楊子渝"</f>
        <v>楊子渝</v>
      </c>
      <c r="D63" s="23"/>
      <c r="E63" s="23"/>
      <c r="F63" s="23">
        <v>1</v>
      </c>
      <c r="G63" s="23">
        <v>1</v>
      </c>
      <c r="H63" s="23"/>
      <c r="I63" s="23"/>
      <c r="J63" s="23"/>
      <c r="K63" s="23">
        <v>1</v>
      </c>
      <c r="L63" s="23"/>
      <c r="M63" s="23"/>
      <c r="N63" s="23"/>
      <c r="O63" s="23">
        <v>1</v>
      </c>
      <c r="P63" s="23"/>
      <c r="Q63" s="23"/>
      <c r="R63" s="23">
        <f t="shared" si="6"/>
        <v>4</v>
      </c>
    </row>
    <row r="64" spans="1:18" s="20" customFormat="1" ht="15" customHeight="1" x14ac:dyDescent="0.3">
      <c r="A64" s="23" t="str">
        <f t="shared" si="7"/>
        <v>食品科學系生物科技組</v>
      </c>
      <c r="B64" s="23" t="str">
        <f>"0083A043"</f>
        <v>0083A043</v>
      </c>
      <c r="C64" s="23" t="str">
        <f>"許佳琪"</f>
        <v>許佳琪</v>
      </c>
      <c r="D64" s="23"/>
      <c r="E64" s="23">
        <v>1</v>
      </c>
      <c r="F64" s="23"/>
      <c r="G64" s="23">
        <v>1</v>
      </c>
      <c r="H64" s="23"/>
      <c r="I64" s="23"/>
      <c r="J64" s="23"/>
      <c r="K64" s="23">
        <v>1</v>
      </c>
      <c r="L64" s="23"/>
      <c r="M64" s="23"/>
      <c r="N64" s="23"/>
      <c r="O64" s="23">
        <v>1</v>
      </c>
      <c r="P64" s="23"/>
      <c r="Q64" s="23"/>
      <c r="R64" s="23">
        <f t="shared" si="6"/>
        <v>4</v>
      </c>
    </row>
    <row r="65" spans="1:18" s="20" customFormat="1" x14ac:dyDescent="0.3">
      <c r="A65" s="23" t="str">
        <f t="shared" si="7"/>
        <v>食品科學系生物科技組</v>
      </c>
      <c r="B65" s="23" t="str">
        <f>"0083A044"</f>
        <v>0083A044</v>
      </c>
      <c r="C65" s="23" t="str">
        <f>"游凱勝"</f>
        <v>游凱勝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>
        <v>1</v>
      </c>
      <c r="P65" s="23"/>
      <c r="Q65" s="23"/>
      <c r="R65" s="23">
        <f t="shared" si="6"/>
        <v>1</v>
      </c>
    </row>
    <row r="66" spans="1:18" s="20" customFormat="1" x14ac:dyDescent="0.3">
      <c r="A66" s="23" t="str">
        <f t="shared" si="7"/>
        <v>食品科學系生物科技組</v>
      </c>
      <c r="B66" s="23" t="str">
        <f>"0079E034"</f>
        <v>0079E034</v>
      </c>
      <c r="C66" s="23" t="s">
        <v>71</v>
      </c>
      <c r="D66" s="23"/>
      <c r="E66" s="23"/>
      <c r="F66" s="23">
        <v>1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>
        <f t="shared" si="6"/>
        <v>1</v>
      </c>
    </row>
    <row r="67" spans="1:18" s="20" customFormat="1" x14ac:dyDescent="0.3">
      <c r="A67" s="23" t="str">
        <f t="shared" si="7"/>
        <v>食品科學系生物科技組</v>
      </c>
      <c r="B67" s="23" t="str">
        <f>"00739031"</f>
        <v>00739031</v>
      </c>
      <c r="C67" s="23" t="s">
        <v>72</v>
      </c>
      <c r="D67" s="23"/>
      <c r="E67" s="23"/>
      <c r="F67" s="23"/>
      <c r="G67" s="23"/>
      <c r="H67" s="23">
        <v>1</v>
      </c>
      <c r="I67" s="23"/>
      <c r="J67" s="23"/>
      <c r="K67" s="23"/>
      <c r="L67" s="23"/>
      <c r="M67" s="23"/>
      <c r="N67" s="23"/>
      <c r="O67" s="23"/>
      <c r="P67" s="23"/>
      <c r="Q67" s="23"/>
      <c r="R67" s="23">
        <f t="shared" si="6"/>
        <v>1</v>
      </c>
    </row>
    <row r="68" spans="1:18" x14ac:dyDescent="0.3">
      <c r="A68" s="19" t="str">
        <f t="shared" ref="A68" si="8">"輪機工程學系能源應用組"</f>
        <v>輪機工程學系能源應用組</v>
      </c>
      <c r="B68" s="19" t="str">
        <f>"0086A015"</f>
        <v>0086A015</v>
      </c>
      <c r="C68" s="19" t="str">
        <f>"李承諺"</f>
        <v>李承諺</v>
      </c>
      <c r="D68" s="19"/>
      <c r="E68" s="19"/>
      <c r="F68" s="19"/>
      <c r="G68" s="19">
        <v>1</v>
      </c>
      <c r="H68" s="19">
        <v>1</v>
      </c>
      <c r="I68" s="19">
        <v>1</v>
      </c>
      <c r="J68" s="19">
        <v>1</v>
      </c>
      <c r="K68" s="19"/>
      <c r="L68" s="19">
        <v>1</v>
      </c>
      <c r="M68" s="19">
        <v>1</v>
      </c>
      <c r="N68" s="19">
        <v>1</v>
      </c>
      <c r="O68" s="19">
        <v>1</v>
      </c>
      <c r="P68" s="19">
        <v>1</v>
      </c>
      <c r="Q68" s="19">
        <v>1</v>
      </c>
      <c r="R68" s="19">
        <f t="shared" ref="R68" si="9">SUM(D68:Q68)</f>
        <v>10</v>
      </c>
    </row>
    <row r="69" spans="1:18" x14ac:dyDescent="0.3">
      <c r="A69" s="19" t="str">
        <f t="shared" ref="A69:A80" si="10">"輪機工程學系動力工程組"</f>
        <v>輪機工程學系動力工程組</v>
      </c>
      <c r="B69" s="19" t="str">
        <f>"0086D024"</f>
        <v>0086D024</v>
      </c>
      <c r="C69" s="19" t="str">
        <f>"陳建維"</f>
        <v>陳建維</v>
      </c>
      <c r="D69" s="19"/>
      <c r="E69" s="19"/>
      <c r="F69" s="19"/>
      <c r="G69" s="19"/>
      <c r="H69" s="19">
        <v>1</v>
      </c>
      <c r="I69" s="19"/>
      <c r="J69" s="19"/>
      <c r="K69" s="19"/>
      <c r="L69" s="19">
        <v>1</v>
      </c>
      <c r="M69" s="19"/>
      <c r="N69" s="19"/>
      <c r="O69" s="19"/>
      <c r="P69" s="19">
        <v>1</v>
      </c>
      <c r="Q69" s="19"/>
      <c r="R69" s="19">
        <f t="shared" ref="R69:R80" si="11">SUM(D69:Q69)</f>
        <v>3</v>
      </c>
    </row>
    <row r="70" spans="1:18" x14ac:dyDescent="0.3">
      <c r="A70" s="19" t="str">
        <f t="shared" si="10"/>
        <v>輪機工程學系動力工程組</v>
      </c>
      <c r="B70" s="19" t="str">
        <f>"0086D029"</f>
        <v>0086D029</v>
      </c>
      <c r="C70" s="19" t="str">
        <f>"方茗漬"</f>
        <v>方茗漬</v>
      </c>
      <c r="D70" s="19"/>
      <c r="E70" s="19"/>
      <c r="F70" s="19"/>
      <c r="G70" s="19"/>
      <c r="H70" s="19"/>
      <c r="I70" s="19"/>
      <c r="J70" s="19"/>
      <c r="K70" s="19"/>
      <c r="L70" s="19">
        <v>1</v>
      </c>
      <c r="M70" s="19"/>
      <c r="N70" s="19"/>
      <c r="O70" s="19"/>
      <c r="P70" s="19">
        <v>1</v>
      </c>
      <c r="Q70" s="19"/>
      <c r="R70" s="19">
        <f t="shared" si="11"/>
        <v>2</v>
      </c>
    </row>
    <row r="71" spans="1:18" x14ac:dyDescent="0.3">
      <c r="A71" s="19" t="str">
        <f t="shared" si="10"/>
        <v>輪機工程學系動力工程組</v>
      </c>
      <c r="B71" s="19" t="str">
        <f>"0086D030"</f>
        <v>0086D030</v>
      </c>
      <c r="C71" s="19" t="str">
        <f>"劉宇恆"</f>
        <v>劉宇恆</v>
      </c>
      <c r="D71" s="19"/>
      <c r="E71" s="19"/>
      <c r="F71" s="19"/>
      <c r="G71" s="19"/>
      <c r="H71" s="19"/>
      <c r="I71" s="19"/>
      <c r="J71" s="19"/>
      <c r="K71" s="19"/>
      <c r="L71" s="19">
        <v>1</v>
      </c>
      <c r="M71" s="19"/>
      <c r="N71" s="19"/>
      <c r="O71" s="19"/>
      <c r="P71" s="19"/>
      <c r="Q71" s="19"/>
      <c r="R71" s="19">
        <f t="shared" si="11"/>
        <v>1</v>
      </c>
    </row>
    <row r="72" spans="1:18" x14ac:dyDescent="0.3">
      <c r="A72" s="19" t="str">
        <f t="shared" si="10"/>
        <v>輪機工程學系動力工程組</v>
      </c>
      <c r="B72" s="19" t="str">
        <f>"0086D034"</f>
        <v>0086D034</v>
      </c>
      <c r="C72" s="19" t="str">
        <f>"鐘義堅"</f>
        <v>鐘義堅</v>
      </c>
      <c r="D72" s="19"/>
      <c r="E72" s="19"/>
      <c r="F72" s="19"/>
      <c r="G72" s="19">
        <v>1</v>
      </c>
      <c r="H72" s="19"/>
      <c r="I72" s="19">
        <v>1</v>
      </c>
      <c r="J72" s="19"/>
      <c r="K72" s="19"/>
      <c r="L72" s="19"/>
      <c r="M72" s="19">
        <v>1</v>
      </c>
      <c r="N72" s="19"/>
      <c r="O72" s="19"/>
      <c r="P72" s="19"/>
      <c r="Q72" s="19">
        <v>1</v>
      </c>
      <c r="R72" s="19">
        <f t="shared" si="11"/>
        <v>4</v>
      </c>
    </row>
    <row r="73" spans="1:18" x14ac:dyDescent="0.3">
      <c r="A73" s="19" t="str">
        <f t="shared" si="10"/>
        <v>輪機工程學系動力工程組</v>
      </c>
      <c r="B73" s="19" t="str">
        <f>"0086D038"</f>
        <v>0086D038</v>
      </c>
      <c r="C73" s="19" t="str">
        <f>"鐘翌羊"</f>
        <v>鐘翌羊</v>
      </c>
      <c r="D73" s="19"/>
      <c r="E73" s="19"/>
      <c r="F73" s="19">
        <v>1</v>
      </c>
      <c r="G73" s="19"/>
      <c r="H73" s="19"/>
      <c r="I73" s="19">
        <v>1</v>
      </c>
      <c r="J73" s="19"/>
      <c r="K73" s="19"/>
      <c r="L73" s="19"/>
      <c r="M73" s="19"/>
      <c r="N73" s="19"/>
      <c r="O73" s="19"/>
      <c r="P73" s="19"/>
      <c r="Q73" s="19"/>
      <c r="R73" s="19">
        <f t="shared" si="11"/>
        <v>2</v>
      </c>
    </row>
    <row r="74" spans="1:18" x14ac:dyDescent="0.3">
      <c r="A74" s="19" t="str">
        <f t="shared" si="10"/>
        <v>輪機工程學系動力工程組</v>
      </c>
      <c r="B74" s="19" t="str">
        <f>"0086D041"</f>
        <v>0086D041</v>
      </c>
      <c r="C74" s="19" t="str">
        <f>"陳柏維"</f>
        <v>陳柏維</v>
      </c>
      <c r="D74" s="19"/>
      <c r="E74" s="19"/>
      <c r="F74" s="19"/>
      <c r="G74" s="19"/>
      <c r="H74" s="19"/>
      <c r="I74" s="19"/>
      <c r="J74" s="19"/>
      <c r="K74" s="19"/>
      <c r="L74" s="19">
        <v>1</v>
      </c>
      <c r="M74" s="19"/>
      <c r="N74" s="19"/>
      <c r="O74" s="19"/>
      <c r="P74" s="19"/>
      <c r="Q74" s="19"/>
      <c r="R74" s="19">
        <f t="shared" si="11"/>
        <v>1</v>
      </c>
    </row>
    <row r="75" spans="1:18" x14ac:dyDescent="0.3">
      <c r="A75" s="19" t="str">
        <f t="shared" si="10"/>
        <v>輪機工程學系動力工程組</v>
      </c>
      <c r="B75" s="19" t="str">
        <f>"0086D042"</f>
        <v>0086D042</v>
      </c>
      <c r="C75" s="19" t="str">
        <f>"林嵩竣"</f>
        <v>林嵩竣</v>
      </c>
      <c r="D75" s="19"/>
      <c r="E75" s="19"/>
      <c r="F75" s="19"/>
      <c r="G75" s="19"/>
      <c r="H75" s="19"/>
      <c r="I75" s="19"/>
      <c r="J75" s="19"/>
      <c r="K75" s="19"/>
      <c r="L75" s="19">
        <v>1</v>
      </c>
      <c r="M75" s="19"/>
      <c r="N75" s="19"/>
      <c r="O75" s="19">
        <v>1</v>
      </c>
      <c r="P75" s="19">
        <v>1</v>
      </c>
      <c r="Q75" s="19"/>
      <c r="R75" s="19">
        <f t="shared" si="11"/>
        <v>3</v>
      </c>
    </row>
    <row r="76" spans="1:18" x14ac:dyDescent="0.3">
      <c r="A76" s="19" t="str">
        <f t="shared" si="10"/>
        <v>輪機工程學系動力工程組</v>
      </c>
      <c r="B76" s="19" t="str">
        <f>"0086D043"</f>
        <v>0086D043</v>
      </c>
      <c r="C76" s="19" t="str">
        <f>"曾昱翔"</f>
        <v>曾昱翔</v>
      </c>
      <c r="D76" s="19"/>
      <c r="E76" s="19"/>
      <c r="F76" s="19">
        <v>1</v>
      </c>
      <c r="G76" s="19"/>
      <c r="H76" s="19"/>
      <c r="I76" s="19">
        <v>1</v>
      </c>
      <c r="J76" s="19"/>
      <c r="K76" s="19"/>
      <c r="L76" s="19"/>
      <c r="M76" s="19">
        <v>1</v>
      </c>
      <c r="N76" s="19"/>
      <c r="O76" s="19"/>
      <c r="P76" s="19"/>
      <c r="Q76" s="19"/>
      <c r="R76" s="19">
        <f t="shared" si="11"/>
        <v>3</v>
      </c>
    </row>
    <row r="77" spans="1:18" x14ac:dyDescent="0.3">
      <c r="A77" s="19" t="str">
        <f t="shared" si="10"/>
        <v>輪機工程學系動力工程組</v>
      </c>
      <c r="B77" s="19" t="str">
        <f>"0086D044"</f>
        <v>0086D044</v>
      </c>
      <c r="C77" s="19" t="str">
        <f>"蔡宇倫"</f>
        <v>蔡宇倫</v>
      </c>
      <c r="D77" s="19"/>
      <c r="E77" s="19"/>
      <c r="F77" s="19"/>
      <c r="G77" s="19"/>
      <c r="H77" s="19"/>
      <c r="I77" s="19"/>
      <c r="J77" s="19"/>
      <c r="K77" s="19"/>
      <c r="L77" s="19">
        <v>1</v>
      </c>
      <c r="M77" s="19"/>
      <c r="N77" s="19"/>
      <c r="O77" s="19"/>
      <c r="P77" s="19"/>
      <c r="Q77" s="19"/>
      <c r="R77" s="19">
        <f t="shared" si="11"/>
        <v>1</v>
      </c>
    </row>
    <row r="78" spans="1:18" x14ac:dyDescent="0.3">
      <c r="A78" s="19" t="str">
        <f t="shared" si="10"/>
        <v>輪機工程學系動力工程組</v>
      </c>
      <c r="B78" s="19" t="str">
        <f>"0086D048"</f>
        <v>0086D048</v>
      </c>
      <c r="C78" s="19" t="str">
        <f>"盧宜慶"</f>
        <v>盧宜慶</v>
      </c>
      <c r="D78" s="19"/>
      <c r="E78" s="19"/>
      <c r="F78" s="19"/>
      <c r="G78" s="19">
        <v>1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>
        <f t="shared" si="11"/>
        <v>1</v>
      </c>
    </row>
    <row r="79" spans="1:18" x14ac:dyDescent="0.3">
      <c r="A79" s="19" t="str">
        <f t="shared" si="10"/>
        <v>輪機工程學系動力工程組</v>
      </c>
      <c r="B79" s="19" t="str">
        <f>"0086D049"</f>
        <v>0086D049</v>
      </c>
      <c r="C79" s="19" t="str">
        <f>"翁偉峰"</f>
        <v>翁偉峰</v>
      </c>
      <c r="D79" s="19"/>
      <c r="E79" s="19"/>
      <c r="F79" s="19"/>
      <c r="G79" s="19"/>
      <c r="H79" s="19">
        <v>1</v>
      </c>
      <c r="I79" s="19"/>
      <c r="J79" s="19"/>
      <c r="K79" s="19"/>
      <c r="L79" s="19">
        <v>1</v>
      </c>
      <c r="M79" s="19"/>
      <c r="N79" s="19"/>
      <c r="O79" s="19"/>
      <c r="P79" s="19">
        <v>1</v>
      </c>
      <c r="Q79" s="19"/>
      <c r="R79" s="19">
        <f t="shared" si="11"/>
        <v>3</v>
      </c>
    </row>
    <row r="80" spans="1:18" x14ac:dyDescent="0.3">
      <c r="A80" s="19" t="str">
        <f t="shared" si="10"/>
        <v>輪機工程學系動力工程組</v>
      </c>
      <c r="B80" s="19" t="str">
        <f>"0086D050"</f>
        <v>0086D050</v>
      </c>
      <c r="C80" s="19" t="str">
        <f>"林建銘"</f>
        <v>林建銘</v>
      </c>
      <c r="D80" s="19"/>
      <c r="E80" s="19"/>
      <c r="F80" s="19"/>
      <c r="G80" s="19">
        <v>1</v>
      </c>
      <c r="H80" s="19"/>
      <c r="I80" s="19"/>
      <c r="J80" s="19"/>
      <c r="K80" s="19"/>
      <c r="L80" s="19">
        <v>1</v>
      </c>
      <c r="M80" s="19"/>
      <c r="N80" s="19"/>
      <c r="O80" s="19">
        <v>1</v>
      </c>
      <c r="P80" s="19"/>
      <c r="Q80" s="19"/>
      <c r="R80" s="19">
        <f t="shared" si="11"/>
        <v>3</v>
      </c>
    </row>
    <row r="81" spans="1:18" x14ac:dyDescent="0.3">
      <c r="A81" s="21" t="str">
        <f t="shared" ref="A81:A87" si="12">"機械與機電工程學系"</f>
        <v>機械與機電工程學系</v>
      </c>
      <c r="B81" s="21" t="str">
        <f>"00872003"</f>
        <v>00872003</v>
      </c>
      <c r="C81" s="21" t="str">
        <f>"鍾尚恩"</f>
        <v>鍾尚恩</v>
      </c>
      <c r="D81" s="21"/>
      <c r="E81" s="21"/>
      <c r="F81" s="21">
        <v>1</v>
      </c>
      <c r="G81" s="21"/>
      <c r="H81" s="21"/>
      <c r="I81" s="21">
        <v>1</v>
      </c>
      <c r="J81" s="21"/>
      <c r="K81" s="21"/>
      <c r="L81" s="21"/>
      <c r="M81" s="21">
        <v>1</v>
      </c>
      <c r="N81" s="21"/>
      <c r="O81" s="21"/>
      <c r="P81" s="21"/>
      <c r="Q81" s="21">
        <v>1</v>
      </c>
      <c r="R81" s="21">
        <f t="shared" ref="R81:R87" si="13">SUM(D81:Q81)</f>
        <v>4</v>
      </c>
    </row>
    <row r="82" spans="1:18" x14ac:dyDescent="0.3">
      <c r="A82" s="21" t="str">
        <f t="shared" si="12"/>
        <v>機械與機電工程學系</v>
      </c>
      <c r="B82" s="21" t="str">
        <f>"00872016"</f>
        <v>00872016</v>
      </c>
      <c r="C82" s="21" t="str">
        <f>"張博彥"</f>
        <v>張博彥</v>
      </c>
      <c r="D82" s="21"/>
      <c r="E82" s="21"/>
      <c r="F82" s="21">
        <v>1</v>
      </c>
      <c r="G82" s="21"/>
      <c r="H82" s="21">
        <v>1</v>
      </c>
      <c r="I82" s="21"/>
      <c r="J82" s="21"/>
      <c r="K82" s="21"/>
      <c r="L82" s="21">
        <v>1</v>
      </c>
      <c r="M82" s="21"/>
      <c r="N82" s="21"/>
      <c r="O82" s="21">
        <v>1</v>
      </c>
      <c r="P82" s="21"/>
      <c r="Q82" s="21"/>
      <c r="R82" s="21">
        <f t="shared" si="13"/>
        <v>4</v>
      </c>
    </row>
    <row r="83" spans="1:18" x14ac:dyDescent="0.3">
      <c r="A83" s="21" t="str">
        <f t="shared" si="12"/>
        <v>機械與機電工程學系</v>
      </c>
      <c r="B83" s="21" t="str">
        <f>"00872023"</f>
        <v>00872023</v>
      </c>
      <c r="C83" s="21" t="str">
        <f>"黃浚瑋"</f>
        <v>黃浚瑋</v>
      </c>
      <c r="D83" s="21"/>
      <c r="E83" s="21"/>
      <c r="F83" s="21"/>
      <c r="G83" s="21"/>
      <c r="H83" s="21"/>
      <c r="I83" s="21">
        <v>1</v>
      </c>
      <c r="J83" s="21"/>
      <c r="K83" s="21"/>
      <c r="L83" s="21"/>
      <c r="M83" s="21"/>
      <c r="N83" s="21"/>
      <c r="O83" s="21"/>
      <c r="P83" s="21"/>
      <c r="Q83" s="21"/>
      <c r="R83" s="21">
        <f t="shared" si="13"/>
        <v>1</v>
      </c>
    </row>
    <row r="84" spans="1:18" x14ac:dyDescent="0.3">
      <c r="A84" s="21" t="str">
        <f t="shared" si="12"/>
        <v>機械與機電工程學系</v>
      </c>
      <c r="B84" s="21" t="str">
        <f>"00872043"</f>
        <v>00872043</v>
      </c>
      <c r="C84" s="21" t="str">
        <f>"呂季鴻"</f>
        <v>呂季鴻</v>
      </c>
      <c r="D84" s="21"/>
      <c r="E84" s="21">
        <v>1</v>
      </c>
      <c r="F84" s="21"/>
      <c r="G84" s="21">
        <v>1</v>
      </c>
      <c r="H84" s="21"/>
      <c r="I84" s="21"/>
      <c r="J84" s="21"/>
      <c r="K84" s="21">
        <v>1</v>
      </c>
      <c r="L84" s="21"/>
      <c r="M84" s="21"/>
      <c r="N84" s="21"/>
      <c r="O84" s="21">
        <v>1</v>
      </c>
      <c r="P84" s="21"/>
      <c r="Q84" s="21"/>
      <c r="R84" s="21">
        <f t="shared" si="13"/>
        <v>4</v>
      </c>
    </row>
    <row r="85" spans="1:18" x14ac:dyDescent="0.3">
      <c r="A85" s="21" t="str">
        <f t="shared" si="12"/>
        <v>機械與機電工程學系</v>
      </c>
      <c r="B85" s="21" t="str">
        <f>"00872111"</f>
        <v>00872111</v>
      </c>
      <c r="C85" s="21" t="str">
        <f>"黃俊銘"</f>
        <v>黃俊銘</v>
      </c>
      <c r="D85" s="21"/>
      <c r="E85" s="21">
        <v>1</v>
      </c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>
        <f t="shared" si="13"/>
        <v>1</v>
      </c>
    </row>
    <row r="86" spans="1:18" x14ac:dyDescent="0.3">
      <c r="A86" s="21" t="str">
        <f t="shared" si="12"/>
        <v>機械與機電工程學系</v>
      </c>
      <c r="B86" s="21" t="str">
        <f>"00872112"</f>
        <v>00872112</v>
      </c>
      <c r="C86" s="21" t="str">
        <f>"馬如志"</f>
        <v>馬如志</v>
      </c>
      <c r="D86" s="21"/>
      <c r="E86" s="21">
        <v>1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>
        <f t="shared" si="13"/>
        <v>1</v>
      </c>
    </row>
    <row r="87" spans="1:18" x14ac:dyDescent="0.3">
      <c r="A87" s="21" t="str">
        <f t="shared" si="12"/>
        <v>機械與機電工程學系</v>
      </c>
      <c r="B87" s="21" t="str">
        <f>"00872113"</f>
        <v>00872113</v>
      </c>
      <c r="C87" s="21" t="str">
        <f>"吳哲源"</f>
        <v>吳哲源</v>
      </c>
      <c r="D87" s="21"/>
      <c r="E87" s="21">
        <v>1</v>
      </c>
      <c r="F87" s="21"/>
      <c r="G87" s="21">
        <v>1</v>
      </c>
      <c r="H87" s="21"/>
      <c r="I87" s="21"/>
      <c r="J87" s="21"/>
      <c r="K87" s="21">
        <v>1</v>
      </c>
      <c r="L87" s="21"/>
      <c r="M87" s="21"/>
      <c r="N87" s="21"/>
      <c r="O87" s="21">
        <v>1</v>
      </c>
      <c r="P87" s="21"/>
      <c r="Q87" s="21"/>
      <c r="R87" s="21">
        <f t="shared" si="13"/>
        <v>4</v>
      </c>
    </row>
    <row r="88" spans="1:18" x14ac:dyDescent="0.3">
      <c r="A88" s="21" t="str">
        <f t="shared" ref="A88:A90" si="14">"機械與機電工程學系"</f>
        <v>機械與機電工程學系</v>
      </c>
      <c r="B88" s="21" t="str">
        <f>"00872135"</f>
        <v>00872135</v>
      </c>
      <c r="C88" s="21" t="str">
        <f>"蔡博璿"</f>
        <v>蔡博璿</v>
      </c>
      <c r="D88" s="21"/>
      <c r="E88" s="21"/>
      <c r="F88" s="21"/>
      <c r="G88" s="21"/>
      <c r="H88" s="21"/>
      <c r="I88" s="21"/>
      <c r="J88" s="21">
        <v>1</v>
      </c>
      <c r="K88" s="21"/>
      <c r="L88" s="21"/>
      <c r="M88" s="21"/>
      <c r="N88" s="21"/>
      <c r="O88" s="21"/>
      <c r="P88" s="21"/>
      <c r="Q88" s="21"/>
      <c r="R88" s="21">
        <f t="shared" ref="R88:R90" si="15">SUM(D88:Q88)</f>
        <v>1</v>
      </c>
    </row>
    <row r="89" spans="1:18" x14ac:dyDescent="0.3">
      <c r="A89" s="21" t="str">
        <f t="shared" si="14"/>
        <v>機械與機電工程學系</v>
      </c>
      <c r="B89" s="21" t="str">
        <f>"00872146"</f>
        <v>00872146</v>
      </c>
      <c r="C89" s="21" t="str">
        <f>"劉友皓"</f>
        <v>劉友皓</v>
      </c>
      <c r="D89" s="21"/>
      <c r="E89" s="21"/>
      <c r="F89" s="21"/>
      <c r="G89" s="21"/>
      <c r="H89" s="21"/>
      <c r="I89" s="21">
        <v>1</v>
      </c>
      <c r="J89" s="21"/>
      <c r="K89" s="21"/>
      <c r="L89" s="21"/>
      <c r="M89" s="21">
        <v>1</v>
      </c>
      <c r="N89" s="21"/>
      <c r="O89" s="21"/>
      <c r="P89" s="21"/>
      <c r="Q89" s="21">
        <v>1</v>
      </c>
      <c r="R89" s="21">
        <f t="shared" si="15"/>
        <v>3</v>
      </c>
    </row>
    <row r="90" spans="1:18" x14ac:dyDescent="0.3">
      <c r="A90" s="21" t="str">
        <f t="shared" si="14"/>
        <v>機械與機電工程學系</v>
      </c>
      <c r="B90" s="21" t="str">
        <f>"00872147"</f>
        <v>00872147</v>
      </c>
      <c r="C90" s="21" t="str">
        <f>"李亦鳴"</f>
        <v>李亦鳴</v>
      </c>
      <c r="D90" s="21"/>
      <c r="E90" s="21"/>
      <c r="F90" s="21"/>
      <c r="G90" s="21"/>
      <c r="H90" s="21"/>
      <c r="I90" s="21">
        <v>1</v>
      </c>
      <c r="J90" s="21"/>
      <c r="K90" s="21"/>
      <c r="L90" s="21"/>
      <c r="M90" s="21">
        <v>1</v>
      </c>
      <c r="N90" s="21"/>
      <c r="O90" s="21"/>
      <c r="P90" s="21"/>
      <c r="Q90" s="21">
        <v>1</v>
      </c>
      <c r="R90" s="21">
        <f t="shared" si="15"/>
        <v>3</v>
      </c>
    </row>
    <row r="91" spans="1:18" x14ac:dyDescent="0.3">
      <c r="A91" s="22" t="str">
        <f t="shared" ref="A91" si="16">"海洋工程科技學士學位學程"</f>
        <v>海洋工程科技學士學位學程</v>
      </c>
      <c r="B91" s="22" t="str">
        <f>"00856015"</f>
        <v>00856015</v>
      </c>
      <c r="C91" s="22" t="str">
        <f>"陳詠淇"</f>
        <v>陳詠淇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>
        <v>1</v>
      </c>
      <c r="R91" s="22">
        <f t="shared" ref="R91" si="17">SUM(D91:Q91)</f>
        <v>1</v>
      </c>
    </row>
    <row r="92" spans="1:18" x14ac:dyDescent="0.3">
      <c r="A92" s="22" t="str">
        <f t="shared" ref="A92:A93" si="18">"光電與材料科技學系"</f>
        <v>光電與材料科技學系</v>
      </c>
      <c r="B92" s="22" t="str">
        <f>"00889002"</f>
        <v>00889002</v>
      </c>
      <c r="C92" s="22" t="str">
        <f>"呂哲?"</f>
        <v>呂哲?</v>
      </c>
      <c r="D92" s="22"/>
      <c r="E92" s="22"/>
      <c r="F92" s="22"/>
      <c r="G92" s="22">
        <v>1</v>
      </c>
      <c r="H92" s="22"/>
      <c r="I92" s="22"/>
      <c r="J92" s="22"/>
      <c r="K92" s="22"/>
      <c r="L92" s="22"/>
      <c r="M92" s="22"/>
      <c r="N92" s="22"/>
      <c r="O92" s="22">
        <v>1</v>
      </c>
      <c r="P92" s="22"/>
      <c r="Q92" s="22"/>
      <c r="R92" s="22">
        <f t="shared" ref="R92:R93" si="19">SUM(D92:Q92)</f>
        <v>2</v>
      </c>
    </row>
    <row r="93" spans="1:18" x14ac:dyDescent="0.3">
      <c r="A93" s="22" t="str">
        <f t="shared" si="18"/>
        <v>光電與材料科技學系</v>
      </c>
      <c r="B93" s="22" t="str">
        <f>"00889007"</f>
        <v>00889007</v>
      </c>
      <c r="C93" s="22" t="str">
        <f>"陳羿融"</f>
        <v>陳羿融</v>
      </c>
      <c r="D93" s="22"/>
      <c r="E93" s="22"/>
      <c r="F93" s="22"/>
      <c r="G93" s="22">
        <v>1</v>
      </c>
      <c r="H93" s="22"/>
      <c r="I93" s="22"/>
      <c r="J93" s="22"/>
      <c r="K93" s="22">
        <v>1</v>
      </c>
      <c r="L93" s="22"/>
      <c r="M93" s="22"/>
      <c r="N93" s="22"/>
      <c r="O93" s="22"/>
      <c r="P93" s="22"/>
      <c r="Q93" s="22"/>
      <c r="R93" s="22">
        <f t="shared" si="19"/>
        <v>2</v>
      </c>
    </row>
    <row r="94" spans="1:18" x14ac:dyDescent="0.3">
      <c r="A94" s="25" t="str">
        <f t="shared" ref="A94:A97" si="20">"海洋生物科技學士學位學程"</f>
        <v>海洋生物科技學士學位學程</v>
      </c>
      <c r="B94" s="25" t="str">
        <f>"00838001"</f>
        <v>00838001</v>
      </c>
      <c r="C94" s="25" t="str">
        <f>"陳沁妤"</f>
        <v>陳沁妤</v>
      </c>
      <c r="D94" s="25"/>
      <c r="E94" s="25"/>
      <c r="F94" s="25"/>
      <c r="G94" s="25"/>
      <c r="H94" s="25">
        <v>1</v>
      </c>
      <c r="I94" s="25"/>
      <c r="J94" s="25"/>
      <c r="K94" s="25"/>
      <c r="L94" s="25">
        <v>1</v>
      </c>
      <c r="M94" s="25"/>
      <c r="N94" s="25"/>
      <c r="O94" s="25"/>
      <c r="P94" s="25">
        <v>1</v>
      </c>
      <c r="Q94" s="25"/>
      <c r="R94" s="25">
        <f>SUM(D94:Q94)</f>
        <v>3</v>
      </c>
    </row>
    <row r="95" spans="1:18" x14ac:dyDescent="0.3">
      <c r="A95" s="25" t="str">
        <f t="shared" si="20"/>
        <v>海洋生物科技學士學位學程</v>
      </c>
      <c r="B95" s="25" t="str">
        <f>"00838008"</f>
        <v>00838008</v>
      </c>
      <c r="C95" s="25" t="str">
        <f>"張景涵"</f>
        <v>張景涵</v>
      </c>
      <c r="D95" s="25"/>
      <c r="E95" s="25"/>
      <c r="F95" s="25"/>
      <c r="G95" s="25"/>
      <c r="H95" s="25"/>
      <c r="I95" s="25"/>
      <c r="J95" s="25">
        <v>1</v>
      </c>
      <c r="K95" s="25"/>
      <c r="L95" s="25">
        <v>1</v>
      </c>
      <c r="M95" s="25"/>
      <c r="N95" s="25"/>
      <c r="O95" s="25"/>
      <c r="P95" s="25">
        <v>1</v>
      </c>
      <c r="Q95" s="25"/>
      <c r="R95" s="25">
        <f t="shared" ref="R95:R102" si="21">SUM(D95:Q95)</f>
        <v>3</v>
      </c>
    </row>
    <row r="96" spans="1:18" x14ac:dyDescent="0.3">
      <c r="A96" s="25" t="str">
        <f t="shared" si="20"/>
        <v>海洋生物科技學士學位學程</v>
      </c>
      <c r="B96" s="25" t="str">
        <f>"00838013"</f>
        <v>00838013</v>
      </c>
      <c r="C96" s="25" t="str">
        <f>"何姿璇"</f>
        <v>何姿璇</v>
      </c>
      <c r="D96" s="25"/>
      <c r="E96" s="25"/>
      <c r="F96" s="25"/>
      <c r="G96" s="25"/>
      <c r="H96" s="25"/>
      <c r="I96" s="25"/>
      <c r="J96" s="25">
        <v>1</v>
      </c>
      <c r="K96" s="25"/>
      <c r="L96" s="25">
        <v>1</v>
      </c>
      <c r="M96" s="25"/>
      <c r="N96" s="25"/>
      <c r="O96" s="25"/>
      <c r="P96" s="25">
        <v>1</v>
      </c>
      <c r="Q96" s="25"/>
      <c r="R96" s="25">
        <f t="shared" si="21"/>
        <v>3</v>
      </c>
    </row>
    <row r="97" spans="1:18" x14ac:dyDescent="0.3">
      <c r="A97" s="25" t="str">
        <f t="shared" si="20"/>
        <v>海洋生物科技學士學位學程</v>
      </c>
      <c r="B97" s="25" t="str">
        <f>"00838019"</f>
        <v>00838019</v>
      </c>
      <c r="C97" s="25" t="str">
        <f>"吳忻穎"</f>
        <v>吳忻穎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>
        <v>1</v>
      </c>
      <c r="Q97" s="25"/>
      <c r="R97" s="25">
        <f t="shared" si="21"/>
        <v>1</v>
      </c>
    </row>
    <row r="98" spans="1:18" x14ac:dyDescent="0.3">
      <c r="A98" s="25" t="str">
        <f t="shared" ref="A98:A104" si="22">"生命科學暨生物科技學系"</f>
        <v>生命科學暨生物科技學系</v>
      </c>
      <c r="B98" s="25" t="str">
        <f>"0083B002"</f>
        <v>0083B002</v>
      </c>
      <c r="C98" s="25" t="str">
        <f>"翁曉玟"</f>
        <v>翁曉玟</v>
      </c>
      <c r="D98" s="25"/>
      <c r="E98" s="25"/>
      <c r="F98" s="25">
        <v>1</v>
      </c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>
        <f t="shared" si="21"/>
        <v>1</v>
      </c>
    </row>
    <row r="99" spans="1:18" x14ac:dyDescent="0.3">
      <c r="A99" s="25" t="str">
        <f t="shared" si="22"/>
        <v>生命科學暨生物科技學系</v>
      </c>
      <c r="B99" s="25" t="str">
        <f>"0083B006"</f>
        <v>0083B006</v>
      </c>
      <c r="C99" s="25" t="str">
        <f>"秦敬翔"</f>
        <v>秦敬翔</v>
      </c>
      <c r="D99" s="25"/>
      <c r="E99" s="25"/>
      <c r="F99" s="25">
        <v>1</v>
      </c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>
        <f t="shared" si="21"/>
        <v>1</v>
      </c>
    </row>
    <row r="100" spans="1:18" x14ac:dyDescent="0.3">
      <c r="A100" s="25" t="str">
        <f t="shared" si="22"/>
        <v>生命科學暨生物科技學系</v>
      </c>
      <c r="B100" s="25" t="str">
        <f>"0083B014"</f>
        <v>0083B014</v>
      </c>
      <c r="C100" s="25" t="str">
        <f>"黃品瑜"</f>
        <v>黃品瑜</v>
      </c>
      <c r="D100" s="25"/>
      <c r="E100" s="25">
        <v>1</v>
      </c>
      <c r="F100" s="25"/>
      <c r="G100" s="25">
        <v>1</v>
      </c>
      <c r="H100" s="25"/>
      <c r="I100" s="25"/>
      <c r="J100" s="25"/>
      <c r="K100" s="25">
        <v>1</v>
      </c>
      <c r="L100" s="25"/>
      <c r="M100" s="25"/>
      <c r="N100" s="25"/>
      <c r="O100" s="25">
        <v>1</v>
      </c>
      <c r="P100" s="25"/>
      <c r="Q100" s="25"/>
      <c r="R100" s="25">
        <f t="shared" si="21"/>
        <v>4</v>
      </c>
    </row>
    <row r="101" spans="1:18" x14ac:dyDescent="0.3">
      <c r="A101" s="25" t="str">
        <f t="shared" si="22"/>
        <v>生命科學暨生物科技學系</v>
      </c>
      <c r="B101" s="25" t="str">
        <f>"0083B020"</f>
        <v>0083B020</v>
      </c>
      <c r="C101" s="25" t="str">
        <f>"蘇容薇"</f>
        <v>蘇容薇</v>
      </c>
      <c r="D101" s="25"/>
      <c r="E101" s="25"/>
      <c r="F101" s="25">
        <v>1</v>
      </c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>
        <f t="shared" si="21"/>
        <v>1</v>
      </c>
    </row>
    <row r="102" spans="1:18" x14ac:dyDescent="0.3">
      <c r="A102" s="25" t="str">
        <f t="shared" si="22"/>
        <v>生命科學暨生物科技學系</v>
      </c>
      <c r="B102" s="25" t="str">
        <f>"0083B028"</f>
        <v>0083B028</v>
      </c>
      <c r="C102" s="25" t="str">
        <f>"廖珮媛"</f>
        <v>廖珮媛</v>
      </c>
      <c r="D102" s="25"/>
      <c r="E102" s="25">
        <v>1</v>
      </c>
      <c r="F102" s="25"/>
      <c r="G102" s="25">
        <v>1</v>
      </c>
      <c r="H102" s="25"/>
      <c r="I102" s="25"/>
      <c r="J102" s="25"/>
      <c r="K102" s="25">
        <v>1</v>
      </c>
      <c r="L102" s="25"/>
      <c r="M102" s="25"/>
      <c r="N102" s="25"/>
      <c r="O102" s="25">
        <v>1</v>
      </c>
      <c r="P102" s="25"/>
      <c r="Q102" s="25"/>
      <c r="R102" s="25">
        <f t="shared" si="21"/>
        <v>4</v>
      </c>
    </row>
    <row r="103" spans="1:18" x14ac:dyDescent="0.3">
      <c r="A103" s="25" t="str">
        <f t="shared" si="22"/>
        <v>生命科學暨生物科技學系</v>
      </c>
      <c r="B103" s="25" t="str">
        <f>"0083B203"</f>
        <v>0083B203</v>
      </c>
      <c r="C103" s="25" t="s">
        <v>74</v>
      </c>
      <c r="D103" s="25"/>
      <c r="E103" s="25">
        <v>1</v>
      </c>
      <c r="F103" s="25">
        <v>1</v>
      </c>
      <c r="G103" s="25">
        <v>1</v>
      </c>
      <c r="H103" s="25">
        <v>1</v>
      </c>
      <c r="I103" s="25"/>
      <c r="J103" s="25"/>
      <c r="K103" s="25">
        <v>1</v>
      </c>
      <c r="L103" s="25"/>
      <c r="M103" s="25"/>
      <c r="N103" s="25"/>
      <c r="O103" s="25"/>
      <c r="P103" s="25"/>
      <c r="Q103" s="25"/>
      <c r="R103" s="25">
        <f t="shared" ref="R103:R104" si="23">SUM(D103:Q103)</f>
        <v>5</v>
      </c>
    </row>
    <row r="104" spans="1:18" x14ac:dyDescent="0.3">
      <c r="A104" s="25" t="str">
        <f t="shared" si="22"/>
        <v>生命科學暨生物科技學系</v>
      </c>
      <c r="B104" s="25" t="str">
        <f>"0083B201"</f>
        <v>0083B201</v>
      </c>
      <c r="C104" s="25" t="s">
        <v>75</v>
      </c>
      <c r="D104" s="25"/>
      <c r="E104" s="25"/>
      <c r="F104" s="25"/>
      <c r="G104" s="25">
        <v>1</v>
      </c>
      <c r="H104" s="25">
        <v>1</v>
      </c>
      <c r="I104" s="25"/>
      <c r="J104" s="25"/>
      <c r="K104" s="25">
        <v>1</v>
      </c>
      <c r="L104" s="25"/>
      <c r="M104" s="25"/>
      <c r="N104" s="25"/>
      <c r="O104" s="25"/>
      <c r="P104" s="25"/>
      <c r="Q104" s="25"/>
      <c r="R104" s="25">
        <f t="shared" si="23"/>
        <v>3</v>
      </c>
    </row>
    <row r="105" spans="1:18" x14ac:dyDescent="0.3">
      <c r="A105" s="24" t="str">
        <f t="shared" ref="A105:A121" si="24">"環境生物與漁業科學學系"</f>
        <v>環境生物與漁業科學學系</v>
      </c>
      <c r="B105" s="24" t="str">
        <f>"00831002"</f>
        <v>00831002</v>
      </c>
      <c r="C105" s="24" t="str">
        <f>"陳泓廷"</f>
        <v>陳泓廷</v>
      </c>
      <c r="D105" s="24"/>
      <c r="E105" s="24"/>
      <c r="F105" s="24">
        <v>1</v>
      </c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>
        <f t="shared" ref="R105:R121" si="25">SUM(D105:Q105)</f>
        <v>1</v>
      </c>
    </row>
    <row r="106" spans="1:18" x14ac:dyDescent="0.3">
      <c r="A106" s="24" t="str">
        <f t="shared" si="24"/>
        <v>環境生物與漁業科學學系</v>
      </c>
      <c r="B106" s="24" t="str">
        <f>"00831003"</f>
        <v>00831003</v>
      </c>
      <c r="C106" s="24" t="str">
        <f>"李易倫"</f>
        <v>李易倫</v>
      </c>
      <c r="D106" s="24"/>
      <c r="E106" s="24"/>
      <c r="F106" s="24">
        <v>1</v>
      </c>
      <c r="G106" s="24">
        <v>1</v>
      </c>
      <c r="H106" s="24"/>
      <c r="I106" s="24"/>
      <c r="J106" s="24"/>
      <c r="K106" s="24"/>
      <c r="L106" s="24"/>
      <c r="M106" s="24">
        <v>1</v>
      </c>
      <c r="N106" s="24"/>
      <c r="O106" s="24"/>
      <c r="P106" s="24"/>
      <c r="Q106" s="24"/>
      <c r="R106" s="24">
        <f t="shared" si="25"/>
        <v>3</v>
      </c>
    </row>
    <row r="107" spans="1:18" x14ac:dyDescent="0.3">
      <c r="A107" s="24" t="str">
        <f t="shared" si="24"/>
        <v>環境生物與漁業科學學系</v>
      </c>
      <c r="B107" s="24" t="str">
        <f>"00831004"</f>
        <v>00831004</v>
      </c>
      <c r="C107" s="24" t="str">
        <f>"翁語謙"</f>
        <v>翁語謙</v>
      </c>
      <c r="D107" s="24"/>
      <c r="E107" s="24">
        <v>1</v>
      </c>
      <c r="F107" s="24"/>
      <c r="G107" s="24"/>
      <c r="H107" s="24"/>
      <c r="I107" s="24">
        <v>1</v>
      </c>
      <c r="J107" s="24"/>
      <c r="K107" s="24"/>
      <c r="L107" s="24"/>
      <c r="M107" s="24"/>
      <c r="N107" s="24"/>
      <c r="O107" s="24"/>
      <c r="P107" s="24"/>
      <c r="Q107" s="24"/>
      <c r="R107" s="24">
        <f t="shared" si="25"/>
        <v>2</v>
      </c>
    </row>
    <row r="108" spans="1:18" x14ac:dyDescent="0.3">
      <c r="A108" s="24" t="str">
        <f t="shared" si="24"/>
        <v>環境生物與漁業科學學系</v>
      </c>
      <c r="B108" s="24" t="str">
        <f>"00831007"</f>
        <v>00831007</v>
      </c>
      <c r="C108" s="24" t="str">
        <f>"李?東"</f>
        <v>李?東</v>
      </c>
      <c r="D108" s="24"/>
      <c r="E108" s="24"/>
      <c r="F108" s="24"/>
      <c r="G108" s="24"/>
      <c r="H108" s="24"/>
      <c r="I108" s="24">
        <v>1</v>
      </c>
      <c r="J108" s="24"/>
      <c r="K108" s="24"/>
      <c r="L108" s="24"/>
      <c r="M108" s="24"/>
      <c r="N108" s="24"/>
      <c r="O108" s="24"/>
      <c r="P108" s="24"/>
      <c r="Q108" s="24"/>
      <c r="R108" s="24">
        <f t="shared" si="25"/>
        <v>1</v>
      </c>
    </row>
    <row r="109" spans="1:18" x14ac:dyDescent="0.3">
      <c r="A109" s="24" t="str">
        <f t="shared" si="24"/>
        <v>環境生物與漁業科學學系</v>
      </c>
      <c r="B109" s="24" t="str">
        <f>"00831009"</f>
        <v>00831009</v>
      </c>
      <c r="C109" s="24" t="str">
        <f>"何承蓁"</f>
        <v>何承蓁</v>
      </c>
      <c r="D109" s="24"/>
      <c r="E109" s="24"/>
      <c r="F109" s="24">
        <v>1</v>
      </c>
      <c r="G109" s="24"/>
      <c r="H109" s="24">
        <v>1</v>
      </c>
      <c r="I109" s="24"/>
      <c r="J109" s="24"/>
      <c r="K109" s="24"/>
      <c r="L109" s="24">
        <v>1</v>
      </c>
      <c r="M109" s="24"/>
      <c r="N109" s="24"/>
      <c r="O109" s="24"/>
      <c r="P109" s="24">
        <v>1</v>
      </c>
      <c r="Q109" s="24"/>
      <c r="R109" s="24">
        <f t="shared" si="25"/>
        <v>4</v>
      </c>
    </row>
    <row r="110" spans="1:18" x14ac:dyDescent="0.3">
      <c r="A110" s="24" t="str">
        <f t="shared" si="24"/>
        <v>環境生物與漁業科學學系</v>
      </c>
      <c r="B110" s="24" t="str">
        <f>"00831011"</f>
        <v>00831011</v>
      </c>
      <c r="C110" s="24" t="str">
        <f>"郭瀚祥"</f>
        <v>郭瀚祥</v>
      </c>
      <c r="D110" s="24"/>
      <c r="E110" s="24">
        <v>1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>
        <f t="shared" si="25"/>
        <v>1</v>
      </c>
    </row>
    <row r="111" spans="1:18" x14ac:dyDescent="0.3">
      <c r="A111" s="24" t="str">
        <f t="shared" si="24"/>
        <v>環境生物與漁業科學學系</v>
      </c>
      <c r="B111" s="24" t="str">
        <f>"00831015"</f>
        <v>00831015</v>
      </c>
      <c r="C111" s="24" t="str">
        <f>"朱柏宣"</f>
        <v>朱柏宣</v>
      </c>
      <c r="D111" s="24"/>
      <c r="E111" s="24"/>
      <c r="F111" s="24"/>
      <c r="G111" s="24"/>
      <c r="H111" s="24"/>
      <c r="I111" s="24">
        <v>1</v>
      </c>
      <c r="J111" s="24"/>
      <c r="K111" s="24"/>
      <c r="L111" s="24"/>
      <c r="M111" s="24">
        <v>1</v>
      </c>
      <c r="N111" s="24"/>
      <c r="O111" s="24"/>
      <c r="P111" s="24"/>
      <c r="Q111" s="24"/>
      <c r="R111" s="24">
        <f t="shared" si="25"/>
        <v>2</v>
      </c>
    </row>
    <row r="112" spans="1:18" x14ac:dyDescent="0.3">
      <c r="A112" s="24" t="str">
        <f t="shared" si="24"/>
        <v>環境生物與漁業科學學系</v>
      </c>
      <c r="B112" s="24" t="str">
        <f>"00831017"</f>
        <v>00831017</v>
      </c>
      <c r="C112" s="24" t="str">
        <f>"邵子軒"</f>
        <v>邵子軒</v>
      </c>
      <c r="D112" s="24"/>
      <c r="E112" s="24">
        <v>1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>
        <f t="shared" si="25"/>
        <v>1</v>
      </c>
    </row>
    <row r="113" spans="1:18" x14ac:dyDescent="0.3">
      <c r="A113" s="24" t="str">
        <f t="shared" si="24"/>
        <v>環境生物與漁業科學學系</v>
      </c>
      <c r="B113" s="24" t="str">
        <f>"00831019"</f>
        <v>00831019</v>
      </c>
      <c r="C113" s="24" t="str">
        <f>"曾宥誠"</f>
        <v>曾宥誠</v>
      </c>
      <c r="D113" s="24"/>
      <c r="E113" s="24">
        <v>1</v>
      </c>
      <c r="F113" s="24"/>
      <c r="G113" s="24"/>
      <c r="H113" s="24"/>
      <c r="I113" s="24">
        <v>1</v>
      </c>
      <c r="J113" s="24"/>
      <c r="K113" s="24"/>
      <c r="L113" s="24"/>
      <c r="M113" s="24"/>
      <c r="N113" s="24"/>
      <c r="O113" s="24"/>
      <c r="P113" s="24"/>
      <c r="Q113" s="24"/>
      <c r="R113" s="24">
        <f t="shared" si="25"/>
        <v>2</v>
      </c>
    </row>
    <row r="114" spans="1:18" x14ac:dyDescent="0.3">
      <c r="A114" s="24" t="str">
        <f t="shared" si="24"/>
        <v>環境生物與漁業科學學系</v>
      </c>
      <c r="B114" s="24" t="str">
        <f>"00831021"</f>
        <v>00831021</v>
      </c>
      <c r="C114" s="24" t="str">
        <f>"林辰澔"</f>
        <v>林辰澔</v>
      </c>
      <c r="D114" s="24"/>
      <c r="E114" s="24"/>
      <c r="F114" s="24"/>
      <c r="G114" s="24"/>
      <c r="H114" s="24"/>
      <c r="I114" s="24"/>
      <c r="J114" s="24"/>
      <c r="K114" s="24"/>
      <c r="L114" s="24"/>
      <c r="M114" s="24">
        <v>1</v>
      </c>
      <c r="N114" s="24"/>
      <c r="O114" s="24"/>
      <c r="P114" s="24"/>
      <c r="Q114" s="24"/>
      <c r="R114" s="24">
        <f t="shared" si="25"/>
        <v>1</v>
      </c>
    </row>
    <row r="115" spans="1:18" x14ac:dyDescent="0.3">
      <c r="A115" s="24" t="str">
        <f t="shared" si="24"/>
        <v>環境生物與漁業科學學系</v>
      </c>
      <c r="B115" s="24" t="str">
        <f>"00831027"</f>
        <v>00831027</v>
      </c>
      <c r="C115" s="24" t="str">
        <f>"王昱蓁"</f>
        <v>王昱蓁</v>
      </c>
      <c r="D115" s="24"/>
      <c r="E115" s="24">
        <v>1</v>
      </c>
      <c r="F115" s="24"/>
      <c r="G115" s="24">
        <v>1</v>
      </c>
      <c r="H115" s="24"/>
      <c r="I115" s="24"/>
      <c r="J115" s="24"/>
      <c r="K115" s="24">
        <v>1</v>
      </c>
      <c r="L115" s="24"/>
      <c r="M115" s="24"/>
      <c r="N115" s="24"/>
      <c r="O115" s="24">
        <v>1</v>
      </c>
      <c r="P115" s="24"/>
      <c r="Q115" s="24"/>
      <c r="R115" s="24">
        <f t="shared" si="25"/>
        <v>4</v>
      </c>
    </row>
    <row r="116" spans="1:18" x14ac:dyDescent="0.3">
      <c r="A116" s="24" t="str">
        <f t="shared" si="24"/>
        <v>環境生物與漁業科學學系</v>
      </c>
      <c r="B116" s="24" t="str">
        <f>"00831031"</f>
        <v>00831031</v>
      </c>
      <c r="C116" s="24" t="str">
        <f>"蕭民煌"</f>
        <v>蕭民煌</v>
      </c>
      <c r="D116" s="24"/>
      <c r="E116" s="24"/>
      <c r="F116" s="24"/>
      <c r="G116" s="24">
        <v>1</v>
      </c>
      <c r="H116" s="24"/>
      <c r="I116" s="24"/>
      <c r="J116" s="24"/>
      <c r="K116" s="24"/>
      <c r="L116" s="24"/>
      <c r="M116" s="24">
        <v>1</v>
      </c>
      <c r="N116" s="24"/>
      <c r="O116" s="24"/>
      <c r="P116" s="24"/>
      <c r="Q116" s="24"/>
      <c r="R116" s="24">
        <f t="shared" si="25"/>
        <v>2</v>
      </c>
    </row>
    <row r="117" spans="1:18" x14ac:dyDescent="0.3">
      <c r="A117" s="24" t="str">
        <f t="shared" si="24"/>
        <v>環境生物與漁業科學學系</v>
      </c>
      <c r="B117" s="24" t="str">
        <f>"00831033"</f>
        <v>00831033</v>
      </c>
      <c r="C117" s="24" t="str">
        <f>"廖霆霨"</f>
        <v>廖霆霨</v>
      </c>
      <c r="D117" s="24"/>
      <c r="E117" s="24"/>
      <c r="F117" s="24"/>
      <c r="G117" s="24"/>
      <c r="H117" s="24"/>
      <c r="I117" s="24">
        <v>1</v>
      </c>
      <c r="J117" s="24"/>
      <c r="K117" s="24"/>
      <c r="L117" s="24"/>
      <c r="M117" s="24"/>
      <c r="N117" s="24"/>
      <c r="O117" s="24"/>
      <c r="P117" s="24"/>
      <c r="Q117" s="24"/>
      <c r="R117" s="24">
        <f t="shared" si="25"/>
        <v>1</v>
      </c>
    </row>
    <row r="118" spans="1:18" x14ac:dyDescent="0.3">
      <c r="A118" s="24" t="str">
        <f t="shared" si="24"/>
        <v>環境生物與漁業科學學系</v>
      </c>
      <c r="B118" s="24" t="str">
        <f>"00831039"</f>
        <v>00831039</v>
      </c>
      <c r="C118" s="24" t="str">
        <f>"方柏淳"</f>
        <v>方柏淳</v>
      </c>
      <c r="D118" s="24"/>
      <c r="E118" s="24"/>
      <c r="F118" s="24">
        <v>1</v>
      </c>
      <c r="G118" s="24">
        <v>1</v>
      </c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>
        <f t="shared" si="25"/>
        <v>2</v>
      </c>
    </row>
    <row r="119" spans="1:18" x14ac:dyDescent="0.3">
      <c r="A119" s="24" t="str">
        <f t="shared" si="24"/>
        <v>環境生物與漁業科學學系</v>
      </c>
      <c r="B119" s="24" t="str">
        <f>"00831042"</f>
        <v>00831042</v>
      </c>
      <c r="C119" s="24" t="str">
        <f>"邱思惟"</f>
        <v>邱思惟</v>
      </c>
      <c r="D119" s="24"/>
      <c r="E119" s="24"/>
      <c r="F119" s="24"/>
      <c r="G119" s="24"/>
      <c r="H119" s="24"/>
      <c r="I119" s="24">
        <v>1</v>
      </c>
      <c r="J119" s="24"/>
      <c r="K119" s="24"/>
      <c r="L119" s="24"/>
      <c r="M119" s="24">
        <v>1</v>
      </c>
      <c r="N119" s="24"/>
      <c r="O119" s="24"/>
      <c r="P119" s="24"/>
      <c r="Q119" s="24">
        <v>1</v>
      </c>
      <c r="R119" s="24">
        <f t="shared" si="25"/>
        <v>3</v>
      </c>
    </row>
    <row r="120" spans="1:18" x14ac:dyDescent="0.3">
      <c r="A120" s="24" t="str">
        <f t="shared" si="24"/>
        <v>環境生物與漁業科學學系</v>
      </c>
      <c r="B120" s="24" t="str">
        <f>"00831043"</f>
        <v>00831043</v>
      </c>
      <c r="C120" s="24" t="str">
        <f>"陳璟易"</f>
        <v>陳璟易</v>
      </c>
      <c r="D120" s="24"/>
      <c r="E120" s="24"/>
      <c r="F120" s="24">
        <v>1</v>
      </c>
      <c r="G120" s="24">
        <v>1</v>
      </c>
      <c r="H120" s="24"/>
      <c r="I120" s="24"/>
      <c r="J120" s="24"/>
      <c r="K120" s="24"/>
      <c r="L120" s="24"/>
      <c r="M120" s="24">
        <v>1</v>
      </c>
      <c r="N120" s="24"/>
      <c r="O120" s="24"/>
      <c r="P120" s="24"/>
      <c r="Q120" s="24"/>
      <c r="R120" s="24">
        <f t="shared" si="25"/>
        <v>3</v>
      </c>
    </row>
    <row r="121" spans="1:18" x14ac:dyDescent="0.3">
      <c r="A121" s="24" t="str">
        <f t="shared" si="24"/>
        <v>環境生物與漁業科學學系</v>
      </c>
      <c r="B121" s="24" t="str">
        <f>"00831048"</f>
        <v>00831048</v>
      </c>
      <c r="C121" s="24" t="str">
        <f>"沈育臻"</f>
        <v>沈育臻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>
        <v>1</v>
      </c>
      <c r="Q121" s="24"/>
      <c r="R121" s="24">
        <f t="shared" si="25"/>
        <v>1</v>
      </c>
    </row>
    <row r="122" spans="1:18" x14ac:dyDescent="0.3">
      <c r="A122" s="24" t="str">
        <f t="shared" ref="A122" si="26">"海洋環境資訊系"</f>
        <v>海洋環境資訊系</v>
      </c>
      <c r="B122" s="24" t="str">
        <f>"00881020"</f>
        <v>00881020</v>
      </c>
      <c r="C122" s="24" t="str">
        <f>"閻虹如"</f>
        <v>閻虹如</v>
      </c>
      <c r="D122" s="24"/>
      <c r="E122" s="24"/>
      <c r="F122" s="24"/>
      <c r="G122" s="24"/>
      <c r="H122" s="24"/>
      <c r="I122" s="24"/>
      <c r="J122" s="24">
        <v>1</v>
      </c>
      <c r="K122" s="24"/>
      <c r="L122" s="24"/>
      <c r="M122" s="24"/>
      <c r="N122" s="24">
        <v>1</v>
      </c>
      <c r="O122" s="24"/>
      <c r="P122" s="24"/>
      <c r="Q122" s="24"/>
      <c r="R122" s="24">
        <f t="shared" ref="R122:R124" si="27">SUM(D122:Q122)</f>
        <v>2</v>
      </c>
    </row>
    <row r="123" spans="1:18" x14ac:dyDescent="0.3">
      <c r="A123" s="24" t="str">
        <f>"環境生物與漁業科學學系"</f>
        <v>環境生物與漁業科學學系</v>
      </c>
      <c r="B123" s="24" t="str">
        <f>"00831201"</f>
        <v>00831201</v>
      </c>
      <c r="C123" s="24" t="s">
        <v>76</v>
      </c>
      <c r="D123" s="24"/>
      <c r="E123" s="24"/>
      <c r="F123" s="24">
        <v>1</v>
      </c>
      <c r="G123" s="24"/>
      <c r="H123" s="24">
        <v>1</v>
      </c>
      <c r="I123" s="24"/>
      <c r="J123" s="24"/>
      <c r="K123" s="24"/>
      <c r="L123" s="24"/>
      <c r="M123" s="24"/>
      <c r="N123" s="24"/>
      <c r="O123" s="24"/>
      <c r="P123" s="24"/>
      <c r="Q123" s="24"/>
      <c r="R123" s="24">
        <f t="shared" si="27"/>
        <v>2</v>
      </c>
    </row>
    <row r="124" spans="1:18" x14ac:dyDescent="0.3">
      <c r="A124" s="24" t="str">
        <f t="shared" ref="A124" si="28">"海洋環境資訊系"</f>
        <v>海洋環境資訊系</v>
      </c>
      <c r="B124" s="24" t="str">
        <f>"00881202"</f>
        <v>00881202</v>
      </c>
      <c r="C124" s="24" t="s">
        <v>77</v>
      </c>
      <c r="D124" s="24"/>
      <c r="E124" s="24"/>
      <c r="F124" s="24">
        <v>1</v>
      </c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>
        <f t="shared" si="27"/>
        <v>1</v>
      </c>
    </row>
    <row r="125" spans="1:18" x14ac:dyDescent="0.3">
      <c r="A125" s="11"/>
      <c r="C125" s="12" t="s">
        <v>49</v>
      </c>
      <c r="D125">
        <f>SUM(D2:D124)</f>
        <v>0</v>
      </c>
      <c r="E125">
        <f t="shared" ref="E125:Q125" si="29">SUM(E2:E124)</f>
        <v>39</v>
      </c>
      <c r="F125">
        <f t="shared" si="29"/>
        <v>38</v>
      </c>
      <c r="G125">
        <f t="shared" si="29"/>
        <v>41</v>
      </c>
      <c r="H125">
        <f t="shared" si="29"/>
        <v>16</v>
      </c>
      <c r="I125">
        <f t="shared" si="29"/>
        <v>19</v>
      </c>
      <c r="J125">
        <f t="shared" si="29"/>
        <v>20</v>
      </c>
      <c r="K125">
        <f t="shared" si="29"/>
        <v>35</v>
      </c>
      <c r="L125">
        <f t="shared" si="29"/>
        <v>23</v>
      </c>
      <c r="M125">
        <f t="shared" si="29"/>
        <v>15</v>
      </c>
      <c r="N125">
        <f t="shared" si="29"/>
        <v>5</v>
      </c>
      <c r="O125">
        <f t="shared" si="29"/>
        <v>38</v>
      </c>
      <c r="P125">
        <f t="shared" si="29"/>
        <v>16</v>
      </c>
      <c r="Q125">
        <f t="shared" si="29"/>
        <v>9</v>
      </c>
      <c r="R125">
        <f>SUM(D125:Q125)</f>
        <v>314</v>
      </c>
    </row>
    <row r="126" spans="1:18" x14ac:dyDescent="0.3">
      <c r="A126" s="11"/>
    </row>
    <row r="128" spans="1:18" x14ac:dyDescent="0.3">
      <c r="D128" s="12"/>
    </row>
    <row r="129" spans="1:15" x14ac:dyDescent="0.3">
      <c r="A129" s="13" t="s">
        <v>50</v>
      </c>
      <c r="B129" s="13" t="s">
        <v>51</v>
      </c>
      <c r="C129" s="13" t="s">
        <v>52</v>
      </c>
    </row>
    <row r="130" spans="1:15" x14ac:dyDescent="0.3">
      <c r="A130" s="2" t="str">
        <f>"水產養殖學系"</f>
        <v>水產養殖學系</v>
      </c>
      <c r="B130">
        <v>8</v>
      </c>
      <c r="C130">
        <f>SUM(R2:R9)</f>
        <v>18</v>
      </c>
    </row>
    <row r="131" spans="1:15" x14ac:dyDescent="0.3">
      <c r="A131" s="2" t="s">
        <v>62</v>
      </c>
      <c r="B131">
        <v>58</v>
      </c>
      <c r="C131">
        <f>SUM(R10:R67)</f>
        <v>160</v>
      </c>
    </row>
    <row r="132" spans="1:15" x14ac:dyDescent="0.3">
      <c r="A132" t="s">
        <v>64</v>
      </c>
      <c r="B132">
        <v>13</v>
      </c>
      <c r="C132">
        <f>SUM(R68:R80)</f>
        <v>37</v>
      </c>
      <c r="G132" s="2" t="s">
        <v>53</v>
      </c>
      <c r="H132" s="2"/>
      <c r="I132" s="2"/>
      <c r="J132" s="2"/>
      <c r="K132" s="2"/>
      <c r="L132" s="2"/>
      <c r="M132" s="2"/>
      <c r="N132" s="2"/>
      <c r="O132" s="2"/>
    </row>
    <row r="133" spans="1:15" x14ac:dyDescent="0.3">
      <c r="A133" t="s">
        <v>66</v>
      </c>
      <c r="B133">
        <v>10</v>
      </c>
      <c r="C133">
        <f>SUM(R81:R90)</f>
        <v>26</v>
      </c>
      <c r="G133" s="15"/>
      <c r="H133" s="16" t="s">
        <v>54</v>
      </c>
      <c r="I133" s="15" t="s">
        <v>55</v>
      </c>
      <c r="J133" s="15" t="s">
        <v>56</v>
      </c>
      <c r="K133" s="15" t="s">
        <v>57</v>
      </c>
      <c r="L133" s="15" t="s">
        <v>58</v>
      </c>
      <c r="M133" s="15" t="s">
        <v>59</v>
      </c>
      <c r="N133" s="16" t="s">
        <v>60</v>
      </c>
      <c r="O133" s="15" t="s">
        <v>61</v>
      </c>
    </row>
    <row r="134" spans="1:15" x14ac:dyDescent="0.3">
      <c r="A134" t="s">
        <v>47</v>
      </c>
      <c r="B134">
        <v>3</v>
      </c>
      <c r="C134">
        <v>5</v>
      </c>
      <c r="G134" s="15" t="s">
        <v>63</v>
      </c>
      <c r="H134" s="17">
        <v>62.9</v>
      </c>
      <c r="I134" s="17">
        <v>70</v>
      </c>
      <c r="J134" s="17">
        <v>60.1</v>
      </c>
      <c r="K134" s="17">
        <v>56.8</v>
      </c>
      <c r="L134" s="17">
        <v>59.9</v>
      </c>
      <c r="M134" s="17">
        <v>65.599999999999994</v>
      </c>
      <c r="N134" s="17">
        <v>65.900000000000006</v>
      </c>
      <c r="O134" s="17">
        <v>62.7</v>
      </c>
    </row>
    <row r="135" spans="1:15" x14ac:dyDescent="0.3">
      <c r="A135" t="s">
        <v>48</v>
      </c>
      <c r="B135">
        <v>11</v>
      </c>
      <c r="C135">
        <f>SUM(R94:R104)</f>
        <v>29</v>
      </c>
      <c r="G135" s="15" t="s">
        <v>65</v>
      </c>
      <c r="H135" s="15">
        <v>0</v>
      </c>
      <c r="I135" s="15">
        <v>64</v>
      </c>
      <c r="J135" s="15">
        <v>18</v>
      </c>
      <c r="K135" s="15">
        <v>42</v>
      </c>
      <c r="L135" s="15">
        <v>19</v>
      </c>
      <c r="M135" s="15">
        <v>17</v>
      </c>
      <c r="N135" s="15">
        <v>21</v>
      </c>
      <c r="O135" s="15">
        <v>189</v>
      </c>
    </row>
    <row r="136" spans="1:15" x14ac:dyDescent="0.3">
      <c r="A136" t="s">
        <v>67</v>
      </c>
      <c r="B136">
        <v>20</v>
      </c>
      <c r="C136">
        <f>SUM(R105:R124)</f>
        <v>39</v>
      </c>
    </row>
    <row r="137" spans="1:15" x14ac:dyDescent="0.3">
      <c r="A137" s="18" t="s">
        <v>68</v>
      </c>
      <c r="B137" s="18">
        <f>SUM(B130:B136)</f>
        <v>123</v>
      </c>
      <c r="C137" s="18">
        <f>SUM(C130:C136)</f>
        <v>314</v>
      </c>
    </row>
    <row r="140" spans="1:15" x14ac:dyDescent="0.3">
      <c r="A140" s="13" t="s">
        <v>69</v>
      </c>
      <c r="B140" s="13" t="s">
        <v>70</v>
      </c>
      <c r="C140" s="12"/>
    </row>
    <row r="141" spans="1:15" x14ac:dyDescent="0.3">
      <c r="A141" s="2" t="str">
        <f>"水產養殖學系"</f>
        <v>水產養殖學系</v>
      </c>
      <c r="B141">
        <v>111</v>
      </c>
    </row>
    <row r="142" spans="1:15" x14ac:dyDescent="0.3">
      <c r="A142" s="2" t="s">
        <v>62</v>
      </c>
      <c r="B142">
        <v>102</v>
      </c>
    </row>
    <row r="143" spans="1:15" x14ac:dyDescent="0.3">
      <c r="A143" t="s">
        <v>64</v>
      </c>
      <c r="B143">
        <v>113</v>
      </c>
    </row>
    <row r="144" spans="1:15" x14ac:dyDescent="0.3">
      <c r="A144" t="s">
        <v>66</v>
      </c>
      <c r="B144">
        <v>111</v>
      </c>
    </row>
    <row r="145" spans="1:2" x14ac:dyDescent="0.3">
      <c r="A145" t="s">
        <v>47</v>
      </c>
      <c r="B145">
        <v>67</v>
      </c>
    </row>
    <row r="146" spans="1:2" x14ac:dyDescent="0.3">
      <c r="A146" t="s">
        <v>48</v>
      </c>
      <c r="B146">
        <v>74</v>
      </c>
    </row>
    <row r="147" spans="1:2" x14ac:dyDescent="0.3">
      <c r="A147" t="s">
        <v>67</v>
      </c>
      <c r="B147">
        <v>116</v>
      </c>
    </row>
    <row r="148" spans="1:2" x14ac:dyDescent="0.3">
      <c r="A148" s="13" t="s">
        <v>68</v>
      </c>
      <c r="B148" s="18">
        <v>694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01_1081養殖系(白)</vt:lpstr>
      <vt:lpstr>02_1081食科系(紅)</vt:lpstr>
      <vt:lpstr>03_1081輪機系(黃)</vt:lpstr>
      <vt:lpstr>04_1081機械系(藍)</vt:lpstr>
      <vt:lpstr>05_1081光電海洋工程_馬祖海工(橘)</vt:lpstr>
      <vt:lpstr>06_1081生科_馬祖海生(紫)</vt:lpstr>
      <vt:lpstr>07_1081海洋環漁(淺黃)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kuyiyun</dc:creator>
  <cp:lastModifiedBy>許柏盛</cp:lastModifiedBy>
  <cp:lastPrinted>2019-09-24T14:08:15Z</cp:lastPrinted>
  <dcterms:created xsi:type="dcterms:W3CDTF">2015-09-25T08:04:16Z</dcterms:created>
  <dcterms:modified xsi:type="dcterms:W3CDTF">2019-12-25T08:25:53Z</dcterms:modified>
</cp:coreProperties>
</file>