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0f04cb7bdd4045/大一助教 普化/"/>
    </mc:Choice>
  </mc:AlternateContent>
  <xr:revisionPtr revIDLastSave="525" documentId="13_ncr:1_{F1BC0EEA-B463-6243-A395-21F7768DBA10}" xr6:coauthVersionLast="47" xr6:coauthVersionMax="47" xr10:uidLastSave="{C4F1CE8D-1330-484F-9ED4-7B980BF1BEB9}"/>
  <bookViews>
    <workbookView xWindow="-120" yWindow="-120" windowWidth="23280" windowHeight="14880" tabRatio="841" xr2:uid="{00000000-000D-0000-FFFF-FFFF00000000}"/>
  </bookViews>
  <sheets>
    <sheet name="A_1132養殖系129_白" sheetId="28" r:id="rId1"/>
    <sheet name="B_1132食科系138_綠" sheetId="33" r:id="rId2"/>
    <sheet name="C_1132環漁海洋119_紫" sheetId="37" r:id="rId3"/>
    <sheet name="D_1132生科海生技96_黃" sheetId="39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37" l="1"/>
  <c r="A134" i="28"/>
  <c r="C100" i="39" l="1"/>
  <c r="B100" i="39"/>
  <c r="A100" i="39"/>
  <c r="C99" i="39"/>
  <c r="B99" i="39"/>
  <c r="A99" i="39"/>
  <c r="C98" i="39"/>
  <c r="B98" i="39"/>
  <c r="A98" i="39"/>
  <c r="C97" i="39"/>
  <c r="B97" i="39"/>
  <c r="A97" i="39"/>
  <c r="C96" i="39"/>
  <c r="B96" i="39"/>
  <c r="A96" i="39"/>
  <c r="C95" i="39"/>
  <c r="B95" i="39"/>
  <c r="A95" i="39"/>
  <c r="C94" i="39"/>
  <c r="B94" i="39"/>
  <c r="A94" i="39"/>
  <c r="C92" i="39"/>
  <c r="B92" i="39"/>
  <c r="A92" i="39"/>
  <c r="C91" i="39"/>
  <c r="B91" i="39"/>
  <c r="A91" i="39"/>
  <c r="C90" i="39"/>
  <c r="B90" i="39"/>
  <c r="A90" i="39"/>
  <c r="C89" i="39"/>
  <c r="B89" i="39"/>
  <c r="A89" i="39"/>
  <c r="C88" i="39"/>
  <c r="B88" i="39"/>
  <c r="A88" i="39"/>
  <c r="C87" i="39"/>
  <c r="B87" i="39"/>
  <c r="A87" i="39"/>
  <c r="C86" i="39"/>
  <c r="B86" i="39"/>
  <c r="A86" i="39"/>
  <c r="C85" i="39"/>
  <c r="B85" i="39"/>
  <c r="A85" i="39"/>
  <c r="C84" i="39"/>
  <c r="B84" i="39"/>
  <c r="A84" i="39"/>
  <c r="C83" i="39"/>
  <c r="B83" i="39"/>
  <c r="A83" i="39"/>
  <c r="C82" i="39"/>
  <c r="B82" i="39"/>
  <c r="A82" i="39"/>
  <c r="C81" i="39"/>
  <c r="B81" i="39"/>
  <c r="A81" i="39"/>
  <c r="C80" i="39"/>
  <c r="B80" i="39"/>
  <c r="A80" i="39"/>
  <c r="C79" i="39"/>
  <c r="B79" i="39"/>
  <c r="A79" i="39"/>
  <c r="C78" i="39"/>
  <c r="B78" i="39"/>
  <c r="A78" i="39"/>
  <c r="C77" i="39"/>
  <c r="B77" i="39"/>
  <c r="A77" i="39"/>
  <c r="C76" i="39"/>
  <c r="B76" i="39"/>
  <c r="A76" i="39"/>
  <c r="C75" i="39"/>
  <c r="B75" i="39"/>
  <c r="A75" i="39"/>
  <c r="C74" i="39"/>
  <c r="B74" i="39"/>
  <c r="A74" i="39"/>
  <c r="C73" i="39"/>
  <c r="B73" i="39"/>
  <c r="A73" i="39"/>
  <c r="C72" i="39"/>
  <c r="B72" i="39"/>
  <c r="A72" i="39"/>
  <c r="C71" i="39"/>
  <c r="B71" i="39"/>
  <c r="A71" i="39"/>
  <c r="C70" i="39"/>
  <c r="B70" i="39"/>
  <c r="A70" i="39"/>
  <c r="C69" i="39"/>
  <c r="B69" i="39"/>
  <c r="A69" i="39"/>
  <c r="C68" i="39"/>
  <c r="B68" i="39"/>
  <c r="A68" i="39"/>
  <c r="C67" i="39"/>
  <c r="B67" i="39"/>
  <c r="A67" i="39"/>
  <c r="C66" i="39"/>
  <c r="B66" i="39"/>
  <c r="A66" i="39"/>
  <c r="C65" i="39"/>
  <c r="B65" i="39"/>
  <c r="A65" i="39"/>
  <c r="C64" i="39"/>
  <c r="B64" i="39"/>
  <c r="A64" i="39"/>
  <c r="C63" i="39"/>
  <c r="B63" i="39"/>
  <c r="A63" i="39"/>
  <c r="C62" i="39"/>
  <c r="B62" i="39"/>
  <c r="A62" i="39"/>
  <c r="C61" i="39"/>
  <c r="B61" i="39"/>
  <c r="A61" i="39"/>
  <c r="C60" i="39"/>
  <c r="B60" i="39"/>
  <c r="A60" i="39"/>
  <c r="C59" i="39"/>
  <c r="B59" i="39"/>
  <c r="A59" i="39"/>
  <c r="C58" i="39"/>
  <c r="B58" i="39"/>
  <c r="A58" i="39"/>
  <c r="C57" i="39"/>
  <c r="B57" i="39"/>
  <c r="A57" i="39"/>
  <c r="C56" i="39"/>
  <c r="B56" i="39"/>
  <c r="A56" i="39"/>
  <c r="C55" i="39"/>
  <c r="B55" i="39"/>
  <c r="A55" i="39"/>
  <c r="C54" i="39"/>
  <c r="B54" i="39"/>
  <c r="A54" i="39"/>
  <c r="C53" i="39"/>
  <c r="B53" i="39"/>
  <c r="A53" i="39"/>
  <c r="C52" i="39"/>
  <c r="B52" i="39"/>
  <c r="A52" i="39"/>
  <c r="C51" i="39"/>
  <c r="B51" i="39"/>
  <c r="A51" i="39"/>
  <c r="C50" i="39"/>
  <c r="B50" i="39"/>
  <c r="A50" i="39"/>
  <c r="C49" i="39"/>
  <c r="B49" i="39"/>
  <c r="A49" i="39"/>
  <c r="C48" i="39"/>
  <c r="B48" i="39"/>
  <c r="A48" i="39"/>
  <c r="C46" i="39"/>
  <c r="B46" i="39"/>
  <c r="A46" i="39"/>
  <c r="C45" i="39"/>
  <c r="B45" i="39"/>
  <c r="A45" i="39"/>
  <c r="C44" i="39"/>
  <c r="B44" i="39"/>
  <c r="A44" i="39"/>
  <c r="C43" i="39"/>
  <c r="B43" i="39"/>
  <c r="A43" i="39"/>
  <c r="C42" i="39"/>
  <c r="B42" i="39"/>
  <c r="A42" i="39"/>
  <c r="C41" i="39"/>
  <c r="B41" i="39"/>
  <c r="A41" i="39"/>
  <c r="C40" i="39"/>
  <c r="B40" i="39"/>
  <c r="A40" i="39"/>
  <c r="C39" i="39"/>
  <c r="B39" i="39"/>
  <c r="A39" i="39"/>
  <c r="C38" i="39"/>
  <c r="B38" i="39"/>
  <c r="A38" i="39"/>
  <c r="C37" i="39"/>
  <c r="B37" i="39"/>
  <c r="A37" i="39"/>
  <c r="C36" i="39"/>
  <c r="B36" i="39"/>
  <c r="A36" i="39"/>
  <c r="C35" i="39"/>
  <c r="B35" i="39"/>
  <c r="A35" i="39"/>
  <c r="C34" i="39"/>
  <c r="B34" i="39"/>
  <c r="A34" i="39"/>
  <c r="C33" i="39"/>
  <c r="B33" i="39"/>
  <c r="A33" i="39"/>
  <c r="C32" i="39"/>
  <c r="B32" i="39"/>
  <c r="A32" i="39"/>
  <c r="C31" i="39"/>
  <c r="B31" i="39"/>
  <c r="A31" i="39"/>
  <c r="C30" i="39"/>
  <c r="B30" i="39"/>
  <c r="A30" i="39"/>
  <c r="C29" i="39"/>
  <c r="B29" i="39"/>
  <c r="A29" i="39"/>
  <c r="C28" i="39"/>
  <c r="B28" i="39"/>
  <c r="A28" i="39"/>
  <c r="C27" i="39"/>
  <c r="B27" i="39"/>
  <c r="A27" i="39"/>
  <c r="C26" i="39"/>
  <c r="B26" i="39"/>
  <c r="A26" i="39"/>
  <c r="C25" i="39"/>
  <c r="B25" i="39"/>
  <c r="A25" i="39"/>
  <c r="C24" i="39"/>
  <c r="B24" i="39"/>
  <c r="A24" i="39"/>
  <c r="C23" i="39"/>
  <c r="B23" i="39"/>
  <c r="A23" i="39"/>
  <c r="C22" i="39"/>
  <c r="B22" i="39"/>
  <c r="A22" i="39"/>
  <c r="C21" i="39"/>
  <c r="B21" i="39"/>
  <c r="A21" i="39"/>
  <c r="C20" i="39"/>
  <c r="B20" i="39"/>
  <c r="A20" i="39"/>
  <c r="C19" i="39"/>
  <c r="B19" i="39"/>
  <c r="A19" i="39"/>
  <c r="C18" i="39"/>
  <c r="B18" i="39"/>
  <c r="A18" i="39"/>
  <c r="C17" i="39"/>
  <c r="B17" i="39"/>
  <c r="A17" i="39"/>
  <c r="C16" i="39"/>
  <c r="B16" i="39"/>
  <c r="A16" i="39"/>
  <c r="C15" i="39"/>
  <c r="B15" i="39"/>
  <c r="A15" i="39"/>
  <c r="C14" i="39"/>
  <c r="B14" i="39"/>
  <c r="A14" i="39"/>
  <c r="C13" i="39"/>
  <c r="B13" i="39"/>
  <c r="A13" i="39"/>
  <c r="C12" i="39"/>
  <c r="B12" i="39"/>
  <c r="A12" i="39"/>
  <c r="C11" i="39"/>
  <c r="B11" i="39"/>
  <c r="A11" i="39"/>
  <c r="C10" i="39"/>
  <c r="B10" i="39"/>
  <c r="A10" i="39"/>
  <c r="C9" i="39"/>
  <c r="B9" i="39"/>
  <c r="A9" i="39"/>
  <c r="C8" i="39"/>
  <c r="B8" i="39"/>
  <c r="A8" i="39"/>
  <c r="C7" i="39"/>
  <c r="B7" i="39"/>
  <c r="A7" i="39"/>
  <c r="C6" i="39"/>
  <c r="B6" i="39"/>
  <c r="A6" i="39"/>
  <c r="C5" i="39"/>
  <c r="B5" i="39"/>
  <c r="A5" i="39"/>
  <c r="C4" i="39"/>
  <c r="B4" i="39"/>
  <c r="A4" i="39"/>
  <c r="C3" i="39"/>
  <c r="B3" i="39"/>
  <c r="A3" i="39"/>
  <c r="C123" i="37"/>
  <c r="B123" i="37"/>
  <c r="A123" i="37"/>
  <c r="C122" i="37"/>
  <c r="B122" i="37"/>
  <c r="A122" i="37"/>
  <c r="C121" i="37"/>
  <c r="B121" i="37"/>
  <c r="A121" i="37"/>
  <c r="C120" i="37"/>
  <c r="B120" i="37"/>
  <c r="A120" i="37"/>
  <c r="C119" i="37"/>
  <c r="B119" i="37"/>
  <c r="A119" i="37"/>
  <c r="C118" i="37"/>
  <c r="B118" i="37"/>
  <c r="A118" i="37"/>
  <c r="C117" i="37"/>
  <c r="B117" i="37"/>
  <c r="A117" i="37"/>
  <c r="C116" i="37"/>
  <c r="B116" i="37"/>
  <c r="A116" i="37"/>
  <c r="C115" i="37"/>
  <c r="B115" i="37"/>
  <c r="A115" i="37"/>
  <c r="C114" i="37"/>
  <c r="B114" i="37"/>
  <c r="A114" i="37"/>
  <c r="C113" i="37"/>
  <c r="B113" i="37"/>
  <c r="A113" i="37"/>
  <c r="C112" i="37"/>
  <c r="B112" i="37"/>
  <c r="A112" i="37"/>
  <c r="C111" i="37"/>
  <c r="B111" i="37"/>
  <c r="A111" i="37"/>
  <c r="C110" i="37"/>
  <c r="B110" i="37"/>
  <c r="A110" i="37"/>
  <c r="C109" i="37"/>
  <c r="B109" i="37"/>
  <c r="A109" i="37"/>
  <c r="C108" i="37"/>
  <c r="B108" i="37"/>
  <c r="A108" i="37"/>
  <c r="C107" i="37"/>
  <c r="B107" i="37"/>
  <c r="A107" i="37"/>
  <c r="C106" i="37"/>
  <c r="B106" i="37"/>
  <c r="A106" i="37"/>
  <c r="C105" i="37"/>
  <c r="B105" i="37"/>
  <c r="A105" i="37"/>
  <c r="C104" i="37"/>
  <c r="B104" i="37"/>
  <c r="A104" i="37"/>
  <c r="C103" i="37"/>
  <c r="B103" i="37"/>
  <c r="A103" i="37"/>
  <c r="C102" i="37"/>
  <c r="B102" i="37"/>
  <c r="A102" i="37"/>
  <c r="C101" i="37"/>
  <c r="B101" i="37"/>
  <c r="A101" i="37"/>
  <c r="C100" i="37"/>
  <c r="B100" i="37"/>
  <c r="A100" i="37"/>
  <c r="C99" i="37"/>
  <c r="B99" i="37"/>
  <c r="A99" i="37"/>
  <c r="C98" i="37"/>
  <c r="B98" i="37"/>
  <c r="A98" i="37"/>
  <c r="C97" i="37"/>
  <c r="B97" i="37"/>
  <c r="A97" i="37"/>
  <c r="C96" i="37"/>
  <c r="B96" i="37"/>
  <c r="A96" i="37"/>
  <c r="C94" i="37"/>
  <c r="B94" i="37"/>
  <c r="A94" i="37"/>
  <c r="C93" i="37"/>
  <c r="B93" i="37"/>
  <c r="A93" i="37"/>
  <c r="C92" i="37"/>
  <c r="B92" i="37"/>
  <c r="A92" i="37"/>
  <c r="C91" i="37"/>
  <c r="B91" i="37"/>
  <c r="A91" i="37"/>
  <c r="C90" i="37"/>
  <c r="B90" i="37"/>
  <c r="A90" i="37"/>
  <c r="C89" i="37"/>
  <c r="B89" i="37"/>
  <c r="A89" i="37"/>
  <c r="C88" i="37"/>
  <c r="B88" i="37"/>
  <c r="A88" i="37"/>
  <c r="C87" i="37"/>
  <c r="B87" i="37"/>
  <c r="A87" i="37"/>
  <c r="C86" i="37"/>
  <c r="B86" i="37"/>
  <c r="A86" i="37"/>
  <c r="C85" i="37"/>
  <c r="B85" i="37"/>
  <c r="A85" i="37"/>
  <c r="C84" i="37"/>
  <c r="B84" i="37"/>
  <c r="A84" i="37"/>
  <c r="C83" i="37"/>
  <c r="B83" i="37"/>
  <c r="A83" i="37"/>
  <c r="C82" i="37"/>
  <c r="B82" i="37"/>
  <c r="A82" i="37"/>
  <c r="C81" i="37"/>
  <c r="B81" i="37"/>
  <c r="A81" i="37"/>
  <c r="C80" i="37"/>
  <c r="B80" i="37"/>
  <c r="A80" i="37"/>
  <c r="C79" i="37"/>
  <c r="B79" i="37"/>
  <c r="A79" i="37"/>
  <c r="C78" i="37"/>
  <c r="B78" i="37"/>
  <c r="A78" i="37"/>
  <c r="C77" i="37"/>
  <c r="B77" i="37"/>
  <c r="A77" i="37"/>
  <c r="C76" i="37"/>
  <c r="B76" i="37"/>
  <c r="A76" i="37"/>
  <c r="C75" i="37"/>
  <c r="B75" i="37"/>
  <c r="A75" i="37"/>
  <c r="C74" i="37"/>
  <c r="B74" i="37"/>
  <c r="A74" i="37"/>
  <c r="C73" i="37"/>
  <c r="B73" i="37"/>
  <c r="A73" i="37"/>
  <c r="C72" i="37"/>
  <c r="B72" i="37"/>
  <c r="A72" i="37"/>
  <c r="C71" i="37"/>
  <c r="B71" i="37"/>
  <c r="A71" i="37"/>
  <c r="C70" i="37"/>
  <c r="B70" i="37"/>
  <c r="A70" i="37"/>
  <c r="C69" i="37"/>
  <c r="B69" i="37"/>
  <c r="A69" i="37"/>
  <c r="C68" i="37"/>
  <c r="B68" i="37"/>
  <c r="A68" i="37"/>
  <c r="C67" i="37"/>
  <c r="B67" i="37"/>
  <c r="A67" i="37"/>
  <c r="C66" i="37"/>
  <c r="B66" i="37"/>
  <c r="A66" i="37"/>
  <c r="C65" i="37"/>
  <c r="B65" i="37"/>
  <c r="A65" i="37"/>
  <c r="C64" i="37"/>
  <c r="B64" i="37"/>
  <c r="A64" i="37"/>
  <c r="C63" i="37"/>
  <c r="B63" i="37"/>
  <c r="A63" i="37"/>
  <c r="C62" i="37"/>
  <c r="B62" i="37"/>
  <c r="A62" i="37"/>
  <c r="C61" i="37"/>
  <c r="B61" i="37"/>
  <c r="A61" i="37"/>
  <c r="C60" i="37"/>
  <c r="B60" i="37"/>
  <c r="A60" i="37"/>
  <c r="C59" i="37"/>
  <c r="B59" i="37"/>
  <c r="A59" i="37"/>
  <c r="C58" i="37"/>
  <c r="B58" i="37"/>
  <c r="A58" i="37"/>
  <c r="C57" i="37"/>
  <c r="B57" i="37"/>
  <c r="A57" i="37"/>
  <c r="C56" i="37"/>
  <c r="B56" i="37"/>
  <c r="A56" i="37"/>
  <c r="C55" i="37"/>
  <c r="B55" i="37"/>
  <c r="A55" i="37"/>
  <c r="C54" i="37"/>
  <c r="B54" i="37"/>
  <c r="A54" i="37"/>
  <c r="C53" i="37"/>
  <c r="B53" i="37"/>
  <c r="A53" i="37"/>
  <c r="C52" i="37"/>
  <c r="B52" i="37"/>
  <c r="A52" i="37"/>
  <c r="C51" i="37"/>
  <c r="B51" i="37"/>
  <c r="A51" i="37"/>
  <c r="C50" i="37"/>
  <c r="B50" i="37"/>
  <c r="A50" i="37"/>
  <c r="C49" i="37"/>
  <c r="B49" i="37"/>
  <c r="A49" i="37"/>
  <c r="C47" i="37"/>
  <c r="B47" i="37"/>
  <c r="A47" i="37"/>
  <c r="C46" i="37"/>
  <c r="B46" i="37"/>
  <c r="A46" i="37"/>
  <c r="C45" i="37"/>
  <c r="B45" i="37"/>
  <c r="A45" i="37"/>
  <c r="C44" i="37"/>
  <c r="B44" i="37"/>
  <c r="A44" i="37"/>
  <c r="C43" i="37"/>
  <c r="B43" i="37"/>
  <c r="A43" i="37"/>
  <c r="C42" i="37"/>
  <c r="B42" i="37"/>
  <c r="A42" i="37"/>
  <c r="C41" i="37"/>
  <c r="B41" i="37"/>
  <c r="A41" i="37"/>
  <c r="C40" i="37"/>
  <c r="B40" i="37"/>
  <c r="A40" i="37"/>
  <c r="C39" i="37"/>
  <c r="B39" i="37"/>
  <c r="A39" i="37"/>
  <c r="C38" i="37"/>
  <c r="B38" i="37"/>
  <c r="A38" i="37"/>
  <c r="C37" i="37"/>
  <c r="B37" i="37"/>
  <c r="A37" i="37"/>
  <c r="C36" i="37"/>
  <c r="B36" i="37"/>
  <c r="A36" i="37"/>
  <c r="C35" i="37"/>
  <c r="B35" i="37"/>
  <c r="A35" i="37"/>
  <c r="C34" i="37"/>
  <c r="B34" i="37"/>
  <c r="A34" i="37"/>
  <c r="C33" i="37"/>
  <c r="B33" i="37"/>
  <c r="A33" i="37"/>
  <c r="C32" i="37"/>
  <c r="B32" i="37"/>
  <c r="A32" i="37"/>
  <c r="C31" i="37"/>
  <c r="B31" i="37"/>
  <c r="A31" i="37"/>
  <c r="C30" i="37"/>
  <c r="B30" i="37"/>
  <c r="A30" i="37"/>
  <c r="C29" i="37"/>
  <c r="B29" i="37"/>
  <c r="A29" i="37"/>
  <c r="C28" i="37"/>
  <c r="B28" i="37"/>
  <c r="A28" i="37"/>
  <c r="C27" i="37"/>
  <c r="B27" i="37"/>
  <c r="A27" i="37"/>
  <c r="C26" i="37"/>
  <c r="B26" i="37"/>
  <c r="A26" i="37"/>
  <c r="C25" i="37"/>
  <c r="B25" i="37"/>
  <c r="A25" i="37"/>
  <c r="C24" i="37"/>
  <c r="B24" i="37"/>
  <c r="A24" i="37"/>
  <c r="C23" i="37"/>
  <c r="B23" i="37"/>
  <c r="A23" i="37"/>
  <c r="C22" i="37"/>
  <c r="B22" i="37"/>
  <c r="A22" i="37"/>
  <c r="C21" i="37"/>
  <c r="B21" i="37"/>
  <c r="A21" i="37"/>
  <c r="C20" i="37"/>
  <c r="B20" i="37"/>
  <c r="A20" i="37"/>
  <c r="C19" i="37"/>
  <c r="B19" i="37"/>
  <c r="A19" i="37"/>
  <c r="C18" i="37"/>
  <c r="B18" i="37"/>
  <c r="A18" i="37"/>
  <c r="C17" i="37"/>
  <c r="B17" i="37"/>
  <c r="A17" i="37"/>
  <c r="C16" i="37"/>
  <c r="B16" i="37"/>
  <c r="A16" i="37"/>
  <c r="C15" i="37"/>
  <c r="B15" i="37"/>
  <c r="A15" i="37"/>
  <c r="C14" i="37"/>
  <c r="B14" i="37"/>
  <c r="A14" i="37"/>
  <c r="C13" i="37"/>
  <c r="B13" i="37"/>
  <c r="A13" i="37"/>
  <c r="C12" i="37"/>
  <c r="B12" i="37"/>
  <c r="A12" i="37"/>
  <c r="C11" i="37"/>
  <c r="B11" i="37"/>
  <c r="A11" i="37"/>
  <c r="C10" i="37"/>
  <c r="B10" i="37"/>
  <c r="A10" i="37"/>
  <c r="C9" i="37"/>
  <c r="B9" i="37"/>
  <c r="A9" i="37"/>
  <c r="C8" i="37"/>
  <c r="B8" i="37"/>
  <c r="A8" i="37"/>
  <c r="C7" i="37"/>
  <c r="B7" i="37"/>
  <c r="A7" i="37"/>
  <c r="C6" i="37"/>
  <c r="B6" i="37"/>
  <c r="A6" i="37"/>
  <c r="C5" i="37"/>
  <c r="B5" i="37"/>
  <c r="A5" i="37"/>
  <c r="C4" i="37"/>
  <c r="B4" i="37"/>
  <c r="A4" i="37"/>
  <c r="C3" i="37"/>
  <c r="B3" i="37"/>
  <c r="A3" i="37"/>
  <c r="C143" i="33"/>
  <c r="B143" i="33"/>
  <c r="A143" i="33"/>
  <c r="C141" i="33"/>
  <c r="B141" i="33"/>
  <c r="A141" i="33"/>
  <c r="C140" i="33"/>
  <c r="B140" i="33"/>
  <c r="A140" i="33"/>
  <c r="C139" i="33"/>
  <c r="B139" i="33"/>
  <c r="A139" i="33"/>
  <c r="C138" i="33"/>
  <c r="B138" i="33"/>
  <c r="A138" i="33"/>
  <c r="C137" i="33"/>
  <c r="B137" i="33"/>
  <c r="A137" i="33"/>
  <c r="C136" i="33"/>
  <c r="B136" i="33"/>
  <c r="A136" i="33"/>
  <c r="C135" i="33"/>
  <c r="B135" i="33"/>
  <c r="A135" i="33"/>
  <c r="C134" i="33"/>
  <c r="B134" i="33"/>
  <c r="A134" i="33"/>
  <c r="C133" i="33"/>
  <c r="B133" i="33"/>
  <c r="A133" i="33"/>
  <c r="C132" i="33"/>
  <c r="B132" i="33"/>
  <c r="A132" i="33"/>
  <c r="C131" i="33"/>
  <c r="B131" i="33"/>
  <c r="A131" i="33"/>
  <c r="C130" i="33"/>
  <c r="B130" i="33"/>
  <c r="A130" i="33"/>
  <c r="C129" i="33"/>
  <c r="B129" i="33"/>
  <c r="A129" i="33"/>
  <c r="C128" i="33"/>
  <c r="B128" i="33"/>
  <c r="A128" i="33"/>
  <c r="C127" i="33"/>
  <c r="B127" i="33"/>
  <c r="A127" i="33"/>
  <c r="C126" i="33"/>
  <c r="B126" i="33"/>
  <c r="A126" i="33"/>
  <c r="C125" i="33"/>
  <c r="B125" i="33"/>
  <c r="A125" i="33"/>
  <c r="C124" i="33"/>
  <c r="B124" i="33"/>
  <c r="A124" i="33"/>
  <c r="C123" i="33"/>
  <c r="B123" i="33"/>
  <c r="A123" i="33"/>
  <c r="C122" i="33"/>
  <c r="B122" i="33"/>
  <c r="A122" i="33"/>
  <c r="C121" i="33"/>
  <c r="B121" i="33"/>
  <c r="A121" i="33"/>
  <c r="C120" i="33"/>
  <c r="B120" i="33"/>
  <c r="A120" i="33"/>
  <c r="C119" i="33"/>
  <c r="B119" i="33"/>
  <c r="A119" i="33"/>
  <c r="C118" i="33"/>
  <c r="B118" i="33"/>
  <c r="A118" i="33"/>
  <c r="C117" i="33"/>
  <c r="B117" i="33"/>
  <c r="A117" i="33"/>
  <c r="C116" i="33"/>
  <c r="B116" i="33"/>
  <c r="A116" i="33"/>
  <c r="C115" i="33"/>
  <c r="B115" i="33"/>
  <c r="A115" i="33"/>
  <c r="C114" i="33"/>
  <c r="B114" i="33"/>
  <c r="A114" i="33"/>
  <c r="C113" i="33"/>
  <c r="B113" i="33"/>
  <c r="A113" i="33"/>
  <c r="C112" i="33"/>
  <c r="B112" i="33"/>
  <c r="A112" i="33"/>
  <c r="C111" i="33"/>
  <c r="B111" i="33"/>
  <c r="A111" i="33"/>
  <c r="C110" i="33"/>
  <c r="B110" i="33"/>
  <c r="A110" i="33"/>
  <c r="C109" i="33"/>
  <c r="B109" i="33"/>
  <c r="A109" i="33"/>
  <c r="C108" i="33"/>
  <c r="B108" i="33"/>
  <c r="A108" i="33"/>
  <c r="C107" i="33"/>
  <c r="B107" i="33"/>
  <c r="A107" i="33"/>
  <c r="C106" i="33"/>
  <c r="B106" i="33"/>
  <c r="A106" i="33"/>
  <c r="C105" i="33"/>
  <c r="B105" i="33"/>
  <c r="A105" i="33"/>
  <c r="C104" i="33"/>
  <c r="B104" i="33"/>
  <c r="A104" i="33"/>
  <c r="C103" i="33"/>
  <c r="B103" i="33"/>
  <c r="A103" i="33"/>
  <c r="C102" i="33"/>
  <c r="B102" i="33"/>
  <c r="A102" i="33"/>
  <c r="C101" i="33"/>
  <c r="B101" i="33"/>
  <c r="A101" i="33"/>
  <c r="C100" i="33"/>
  <c r="B100" i="33"/>
  <c r="A100" i="33"/>
  <c r="C99" i="33"/>
  <c r="B99" i="33"/>
  <c r="A99" i="33"/>
  <c r="C98" i="33"/>
  <c r="B98" i="33"/>
  <c r="A98" i="33"/>
  <c r="C97" i="33"/>
  <c r="B97" i="33"/>
  <c r="A97" i="33"/>
  <c r="C96" i="33"/>
  <c r="B96" i="33"/>
  <c r="A96" i="33"/>
  <c r="C94" i="33"/>
  <c r="B94" i="33"/>
  <c r="A94" i="33"/>
  <c r="C93" i="33"/>
  <c r="B93" i="33"/>
  <c r="A93" i="33"/>
  <c r="C92" i="33"/>
  <c r="B92" i="33"/>
  <c r="A92" i="33"/>
  <c r="C91" i="33"/>
  <c r="B91" i="33"/>
  <c r="A91" i="33"/>
  <c r="C90" i="33"/>
  <c r="B90" i="33"/>
  <c r="A90" i="33"/>
  <c r="C89" i="33"/>
  <c r="B89" i="33"/>
  <c r="A89" i="33"/>
  <c r="C88" i="33"/>
  <c r="B88" i="33"/>
  <c r="A88" i="33"/>
  <c r="C87" i="33"/>
  <c r="B87" i="33"/>
  <c r="A87" i="33"/>
  <c r="C86" i="33"/>
  <c r="B86" i="33"/>
  <c r="A86" i="33"/>
  <c r="C85" i="33"/>
  <c r="B85" i="33"/>
  <c r="A85" i="33"/>
  <c r="C84" i="33"/>
  <c r="B84" i="33"/>
  <c r="A84" i="33"/>
  <c r="C83" i="33"/>
  <c r="B83" i="33"/>
  <c r="A83" i="33"/>
  <c r="C82" i="33"/>
  <c r="B82" i="33"/>
  <c r="A82" i="33"/>
  <c r="C81" i="33"/>
  <c r="B81" i="33"/>
  <c r="A81" i="33"/>
  <c r="C80" i="33"/>
  <c r="B80" i="33"/>
  <c r="A80" i="33"/>
  <c r="C79" i="33"/>
  <c r="B79" i="33"/>
  <c r="A79" i="33"/>
  <c r="C78" i="33"/>
  <c r="B78" i="33"/>
  <c r="A78" i="33"/>
  <c r="C77" i="33"/>
  <c r="B77" i="33"/>
  <c r="A77" i="33"/>
  <c r="C76" i="33"/>
  <c r="B76" i="33"/>
  <c r="A76" i="33"/>
  <c r="C75" i="33"/>
  <c r="B75" i="33"/>
  <c r="A75" i="33"/>
  <c r="C74" i="33"/>
  <c r="B74" i="33"/>
  <c r="A74" i="33"/>
  <c r="C73" i="33"/>
  <c r="B73" i="33"/>
  <c r="A73" i="33"/>
  <c r="C72" i="33"/>
  <c r="B72" i="33"/>
  <c r="A72" i="33"/>
  <c r="C71" i="33"/>
  <c r="B71" i="33"/>
  <c r="A71" i="33"/>
  <c r="C70" i="33"/>
  <c r="B70" i="33"/>
  <c r="A70" i="33"/>
  <c r="C69" i="33"/>
  <c r="B69" i="33"/>
  <c r="A69" i="33"/>
  <c r="C68" i="33"/>
  <c r="B68" i="33"/>
  <c r="A68" i="33"/>
  <c r="C67" i="33"/>
  <c r="B67" i="33"/>
  <c r="A67" i="33"/>
  <c r="C66" i="33"/>
  <c r="B66" i="33"/>
  <c r="A66" i="33"/>
  <c r="C65" i="33"/>
  <c r="B65" i="33"/>
  <c r="A65" i="33"/>
  <c r="C64" i="33"/>
  <c r="B64" i="33"/>
  <c r="A64" i="33"/>
  <c r="C63" i="33"/>
  <c r="B63" i="33"/>
  <c r="A63" i="33"/>
  <c r="C62" i="33"/>
  <c r="B62" i="33"/>
  <c r="A62" i="33"/>
  <c r="C61" i="33"/>
  <c r="B61" i="33"/>
  <c r="A61" i="33"/>
  <c r="C60" i="33"/>
  <c r="B60" i="33"/>
  <c r="A60" i="33"/>
  <c r="C59" i="33"/>
  <c r="B59" i="33"/>
  <c r="A59" i="33"/>
  <c r="C58" i="33"/>
  <c r="B58" i="33"/>
  <c r="A58" i="33"/>
  <c r="C57" i="33"/>
  <c r="B57" i="33"/>
  <c r="A57" i="33"/>
  <c r="C56" i="33"/>
  <c r="B56" i="33"/>
  <c r="A56" i="33"/>
  <c r="C55" i="33"/>
  <c r="B55" i="33"/>
  <c r="A55" i="33"/>
  <c r="C54" i="33"/>
  <c r="B54" i="33"/>
  <c r="A54" i="33"/>
  <c r="C53" i="33"/>
  <c r="B53" i="33"/>
  <c r="A53" i="33"/>
  <c r="C52" i="33"/>
  <c r="B52" i="33"/>
  <c r="A52" i="33"/>
  <c r="C51" i="33"/>
  <c r="B51" i="33"/>
  <c r="A51" i="33"/>
  <c r="C50" i="33"/>
  <c r="B50" i="33"/>
  <c r="A50" i="33"/>
  <c r="C49" i="33"/>
  <c r="B49" i="33"/>
  <c r="A49" i="33"/>
  <c r="C47" i="33"/>
  <c r="B47" i="33"/>
  <c r="A47" i="33"/>
  <c r="C46" i="33"/>
  <c r="B46" i="33"/>
  <c r="A46" i="33"/>
  <c r="C45" i="33"/>
  <c r="B45" i="33"/>
  <c r="A45" i="33"/>
  <c r="C44" i="33"/>
  <c r="B44" i="33"/>
  <c r="A44" i="33"/>
  <c r="C43" i="33"/>
  <c r="B43" i="33"/>
  <c r="A43" i="33"/>
  <c r="C42" i="33"/>
  <c r="B42" i="33"/>
  <c r="A42" i="33"/>
  <c r="C41" i="33"/>
  <c r="B41" i="33"/>
  <c r="A41" i="33"/>
  <c r="C40" i="33"/>
  <c r="B40" i="33"/>
  <c r="A40" i="33"/>
  <c r="C39" i="33"/>
  <c r="B39" i="33"/>
  <c r="A39" i="33"/>
  <c r="C38" i="33"/>
  <c r="B38" i="33"/>
  <c r="A38" i="33"/>
  <c r="C37" i="33"/>
  <c r="B37" i="33"/>
  <c r="A37" i="33"/>
  <c r="C36" i="33"/>
  <c r="B36" i="33"/>
  <c r="A36" i="33"/>
  <c r="C35" i="33"/>
  <c r="B35" i="33"/>
  <c r="A35" i="33"/>
  <c r="C34" i="33"/>
  <c r="B34" i="33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B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C7" i="33"/>
  <c r="B7" i="33"/>
  <c r="A7" i="33"/>
  <c r="C6" i="33"/>
  <c r="B6" i="33"/>
  <c r="A6" i="33"/>
  <c r="C5" i="33"/>
  <c r="B5" i="33"/>
  <c r="A5" i="33"/>
  <c r="C4" i="33"/>
  <c r="B4" i="33"/>
  <c r="A4" i="33"/>
  <c r="C3" i="33"/>
  <c r="B3" i="33"/>
  <c r="A3" i="33"/>
  <c r="C133" i="28"/>
  <c r="B133" i="28"/>
  <c r="A133" i="28"/>
  <c r="C132" i="28"/>
  <c r="B132" i="28"/>
  <c r="A132" i="28"/>
  <c r="C131" i="28"/>
  <c r="B131" i="28"/>
  <c r="A131" i="28"/>
  <c r="C130" i="28"/>
  <c r="B130" i="28"/>
  <c r="A130" i="28"/>
  <c r="C129" i="28"/>
  <c r="B129" i="28"/>
  <c r="A129" i="28"/>
  <c r="C128" i="28"/>
  <c r="B128" i="28"/>
  <c r="A128" i="28"/>
  <c r="C127" i="28"/>
  <c r="B127" i="28"/>
  <c r="A127" i="28"/>
  <c r="C126" i="28"/>
  <c r="B126" i="28"/>
  <c r="A126" i="28"/>
  <c r="C125" i="28"/>
  <c r="B125" i="28"/>
  <c r="A125" i="28"/>
  <c r="C124" i="28"/>
  <c r="B124" i="28"/>
  <c r="A124" i="28"/>
  <c r="C123" i="28"/>
  <c r="B123" i="28"/>
  <c r="A123" i="28"/>
  <c r="C122" i="28"/>
  <c r="B122" i="28"/>
  <c r="A122" i="28"/>
  <c r="C121" i="28"/>
  <c r="B121" i="28"/>
  <c r="A121" i="28"/>
  <c r="C120" i="28"/>
  <c r="B120" i="28"/>
  <c r="A120" i="28"/>
  <c r="C119" i="28"/>
  <c r="B119" i="28"/>
  <c r="A119" i="28"/>
  <c r="C118" i="28"/>
  <c r="B118" i="28"/>
  <c r="A118" i="28"/>
  <c r="C117" i="28"/>
  <c r="B117" i="28"/>
  <c r="A117" i="28"/>
  <c r="C116" i="28"/>
  <c r="B116" i="28"/>
  <c r="A116" i="28"/>
  <c r="C115" i="28"/>
  <c r="B115" i="28"/>
  <c r="A115" i="28"/>
  <c r="C114" i="28"/>
  <c r="B114" i="28"/>
  <c r="A114" i="28"/>
  <c r="C113" i="28"/>
  <c r="B113" i="28"/>
  <c r="A113" i="28"/>
  <c r="C112" i="28"/>
  <c r="B112" i="28"/>
  <c r="A112" i="28"/>
  <c r="C111" i="28"/>
  <c r="B111" i="28"/>
  <c r="A111" i="28"/>
  <c r="C110" i="28"/>
  <c r="B110" i="28"/>
  <c r="A110" i="28"/>
  <c r="C109" i="28"/>
  <c r="B109" i="28"/>
  <c r="A109" i="28"/>
  <c r="C108" i="28"/>
  <c r="B108" i="28"/>
  <c r="A108" i="28"/>
  <c r="C107" i="28"/>
  <c r="B107" i="28"/>
  <c r="A107" i="28"/>
  <c r="C106" i="28"/>
  <c r="B106" i="28"/>
  <c r="A106" i="28"/>
  <c r="C105" i="28"/>
  <c r="B105" i="28"/>
  <c r="A105" i="28"/>
  <c r="C104" i="28"/>
  <c r="B104" i="28"/>
  <c r="A104" i="28"/>
  <c r="C103" i="28"/>
  <c r="B103" i="28"/>
  <c r="A103" i="28"/>
  <c r="C102" i="28"/>
  <c r="B102" i="28"/>
  <c r="A102" i="28"/>
  <c r="C101" i="28"/>
  <c r="B101" i="28"/>
  <c r="A101" i="28"/>
  <c r="C100" i="28"/>
  <c r="B100" i="28"/>
  <c r="A100" i="28"/>
  <c r="C99" i="28"/>
  <c r="B99" i="28"/>
  <c r="A99" i="28"/>
  <c r="C98" i="28"/>
  <c r="B98" i="28"/>
  <c r="A98" i="28"/>
  <c r="C97" i="28"/>
  <c r="B97" i="28"/>
  <c r="A97" i="28"/>
  <c r="C96" i="28"/>
  <c r="B96" i="28"/>
  <c r="A96" i="28"/>
  <c r="C94" i="28"/>
  <c r="B94" i="28"/>
  <c r="A94" i="28"/>
  <c r="C93" i="28"/>
  <c r="B93" i="28"/>
  <c r="A93" i="28"/>
  <c r="C92" i="28"/>
  <c r="B92" i="28"/>
  <c r="A92" i="28"/>
  <c r="C91" i="28"/>
  <c r="B91" i="28"/>
  <c r="A91" i="28"/>
  <c r="C90" i="28"/>
  <c r="B90" i="28"/>
  <c r="A90" i="28"/>
  <c r="C89" i="28"/>
  <c r="B89" i="28"/>
  <c r="A89" i="28"/>
  <c r="C88" i="28"/>
  <c r="B88" i="28"/>
  <c r="A88" i="28"/>
  <c r="C87" i="28"/>
  <c r="B87" i="28"/>
  <c r="A87" i="28"/>
  <c r="C86" i="28"/>
  <c r="B86" i="28"/>
  <c r="A86" i="28"/>
  <c r="C85" i="28"/>
  <c r="B85" i="28"/>
  <c r="A85" i="28"/>
  <c r="C84" i="28"/>
  <c r="B84" i="28"/>
  <c r="A84" i="28"/>
  <c r="C83" i="28"/>
  <c r="B83" i="28"/>
  <c r="A83" i="28"/>
  <c r="C82" i="28"/>
  <c r="B82" i="28"/>
  <c r="A82" i="28"/>
  <c r="C81" i="28"/>
  <c r="B81" i="28"/>
  <c r="A81" i="28"/>
  <c r="C80" i="28"/>
  <c r="B80" i="28"/>
  <c r="A80" i="28"/>
  <c r="C79" i="28"/>
  <c r="B79" i="28"/>
  <c r="A79" i="28"/>
  <c r="C78" i="28"/>
  <c r="B78" i="28"/>
  <c r="A78" i="28"/>
  <c r="C77" i="28"/>
  <c r="B77" i="28"/>
  <c r="A77" i="28"/>
  <c r="C76" i="28"/>
  <c r="B76" i="28"/>
  <c r="A76" i="28"/>
  <c r="C75" i="28"/>
  <c r="B75" i="28"/>
  <c r="A75" i="28"/>
  <c r="C74" i="28"/>
  <c r="B74" i="28"/>
  <c r="A74" i="28"/>
  <c r="C73" i="28"/>
  <c r="B73" i="28"/>
  <c r="A73" i="28"/>
  <c r="C72" i="28"/>
  <c r="B72" i="28"/>
  <c r="A72" i="28"/>
  <c r="C71" i="28"/>
  <c r="B71" i="28"/>
  <c r="A71" i="28"/>
  <c r="C70" i="28"/>
  <c r="B70" i="28"/>
  <c r="A70" i="28"/>
  <c r="C69" i="28"/>
  <c r="B69" i="28"/>
  <c r="A69" i="28"/>
  <c r="C68" i="28"/>
  <c r="B68" i="28"/>
  <c r="A68" i="28"/>
  <c r="C67" i="28"/>
  <c r="B67" i="28"/>
  <c r="A67" i="28"/>
  <c r="C66" i="28"/>
  <c r="B66" i="28"/>
  <c r="A66" i="28"/>
  <c r="C65" i="28"/>
  <c r="B65" i="28"/>
  <c r="A65" i="28"/>
  <c r="C64" i="28"/>
  <c r="B64" i="28"/>
  <c r="A64" i="28"/>
  <c r="C63" i="28"/>
  <c r="B63" i="28"/>
  <c r="A63" i="28"/>
  <c r="C62" i="28"/>
  <c r="B62" i="28"/>
  <c r="A62" i="28"/>
  <c r="C61" i="28"/>
  <c r="B61" i="28"/>
  <c r="A61" i="28"/>
  <c r="C60" i="28"/>
  <c r="B60" i="28"/>
  <c r="A60" i="28"/>
  <c r="C59" i="28"/>
  <c r="B59" i="28"/>
  <c r="A59" i="28"/>
  <c r="C58" i="28"/>
  <c r="B58" i="28"/>
  <c r="A58" i="28"/>
  <c r="C57" i="28"/>
  <c r="B57" i="28"/>
  <c r="A57" i="28"/>
  <c r="C56" i="28"/>
  <c r="B56" i="28"/>
  <c r="A56" i="28"/>
  <c r="C55" i="28"/>
  <c r="B55" i="28"/>
  <c r="A55" i="28"/>
  <c r="C54" i="28"/>
  <c r="B54" i="28"/>
  <c r="A54" i="28"/>
  <c r="C53" i="28"/>
  <c r="B53" i="28"/>
  <c r="A53" i="28"/>
  <c r="C52" i="28"/>
  <c r="B52" i="28"/>
  <c r="A52" i="28"/>
  <c r="C51" i="28"/>
  <c r="B51" i="28"/>
  <c r="A51" i="28"/>
  <c r="C50" i="28"/>
  <c r="B50" i="28"/>
  <c r="A50" i="28"/>
  <c r="C49" i="28"/>
  <c r="B49" i="28"/>
  <c r="A49" i="28"/>
  <c r="C47" i="28"/>
  <c r="B47" i="28"/>
  <c r="A47" i="28"/>
  <c r="C46" i="28"/>
  <c r="B46" i="28"/>
  <c r="A46" i="28"/>
  <c r="C45" i="28"/>
  <c r="B45" i="28"/>
  <c r="A45" i="28"/>
  <c r="C44" i="28"/>
  <c r="B44" i="28"/>
  <c r="A44" i="28"/>
  <c r="C43" i="28"/>
  <c r="B43" i="28"/>
  <c r="A43" i="28"/>
  <c r="C42" i="28"/>
  <c r="B42" i="28"/>
  <c r="A42" i="28"/>
  <c r="C41" i="28"/>
  <c r="B41" i="28"/>
  <c r="A41" i="28"/>
  <c r="C40" i="28"/>
  <c r="B40" i="28"/>
  <c r="A40" i="28"/>
  <c r="C39" i="28"/>
  <c r="B39" i="28"/>
  <c r="A39" i="28"/>
  <c r="C38" i="28"/>
  <c r="B38" i="28"/>
  <c r="A38" i="28"/>
  <c r="C37" i="28"/>
  <c r="B37" i="28"/>
  <c r="A37" i="28"/>
  <c r="C36" i="28"/>
  <c r="B36" i="28"/>
  <c r="A36" i="28"/>
  <c r="C35" i="28"/>
  <c r="B35" i="28"/>
  <c r="A35" i="28"/>
  <c r="C34" i="28"/>
  <c r="B34" i="28"/>
  <c r="A34" i="28"/>
  <c r="C33" i="28"/>
  <c r="B33" i="28"/>
  <c r="A33" i="28"/>
  <c r="C32" i="28"/>
  <c r="B32" i="28"/>
  <c r="A32" i="28"/>
  <c r="C31" i="28"/>
  <c r="B31" i="28"/>
  <c r="A31" i="28"/>
  <c r="C30" i="28"/>
  <c r="B30" i="28"/>
  <c r="A30" i="28"/>
  <c r="C29" i="28"/>
  <c r="B29" i="28"/>
  <c r="A29" i="28"/>
  <c r="C28" i="28"/>
  <c r="B28" i="28"/>
  <c r="A28" i="28"/>
  <c r="C27" i="28"/>
  <c r="B27" i="28"/>
  <c r="A27" i="28"/>
  <c r="C26" i="28"/>
  <c r="B26" i="28"/>
  <c r="A26" i="28"/>
  <c r="C25" i="28"/>
  <c r="B25" i="28"/>
  <c r="A25" i="28"/>
  <c r="C24" i="28"/>
  <c r="B24" i="28"/>
  <c r="A24" i="28"/>
  <c r="C23" i="28"/>
  <c r="B23" i="28"/>
  <c r="A23" i="28"/>
  <c r="C22" i="28"/>
  <c r="B22" i="28"/>
  <c r="A22" i="28"/>
  <c r="C21" i="28"/>
  <c r="B21" i="28"/>
  <c r="A21" i="28"/>
  <c r="C20" i="28"/>
  <c r="B20" i="28"/>
  <c r="A20" i="28"/>
  <c r="C19" i="28"/>
  <c r="B19" i="28"/>
  <c r="A19" i="28"/>
  <c r="C18" i="28"/>
  <c r="B18" i="28"/>
  <c r="A18" i="28"/>
  <c r="C17" i="28"/>
  <c r="B17" i="28"/>
  <c r="A17" i="28"/>
  <c r="C16" i="28"/>
  <c r="B16" i="28"/>
  <c r="A16" i="28"/>
  <c r="C15" i="28"/>
  <c r="B15" i="28"/>
  <c r="A15" i="28"/>
  <c r="C14" i="28"/>
  <c r="B14" i="28"/>
  <c r="A14" i="28"/>
  <c r="C13" i="28"/>
  <c r="B13" i="28"/>
  <c r="A13" i="28"/>
  <c r="C12" i="28"/>
  <c r="B12" i="28"/>
  <c r="A12" i="28"/>
  <c r="C11" i="28"/>
  <c r="B11" i="28"/>
  <c r="A11" i="28"/>
  <c r="C10" i="28"/>
  <c r="B10" i="28"/>
  <c r="A10" i="28"/>
  <c r="C9" i="28"/>
  <c r="B9" i="28"/>
  <c r="A9" i="28"/>
  <c r="C8" i="28"/>
  <c r="B8" i="28"/>
  <c r="A8" i="28"/>
  <c r="C7" i="28"/>
  <c r="B7" i="28"/>
  <c r="A7" i="28"/>
  <c r="C6" i="28"/>
  <c r="B6" i="28"/>
  <c r="A6" i="28"/>
  <c r="C5" i="28"/>
  <c r="B5" i="28"/>
  <c r="A5" i="28"/>
  <c r="C4" i="28"/>
  <c r="B4" i="28"/>
  <c r="A4" i="28"/>
  <c r="C3" i="28"/>
  <c r="B3" i="28"/>
  <c r="A3" i="28"/>
  <c r="D129" i="39" l="1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</calcChain>
</file>

<file path=xl/sharedStrings.xml><?xml version="1.0" encoding="utf-8"?>
<sst xmlns="http://schemas.openxmlformats.org/spreadsheetml/2006/main" count="542" uniqueCount="25">
  <si>
    <t>系級</t>
  </si>
  <si>
    <t>學號</t>
  </si>
  <si>
    <t>中文姓名</t>
  </si>
  <si>
    <t>總計</t>
    <phoneticPr fontId="1" type="noConversion"/>
  </si>
  <si>
    <t>3/27</t>
    <phoneticPr fontId="1" type="noConversion"/>
  </si>
  <si>
    <t>4/8</t>
    <phoneticPr fontId="1" type="noConversion"/>
  </si>
  <si>
    <t>4/16</t>
    <phoneticPr fontId="1" type="noConversion"/>
  </si>
  <si>
    <t>4/17</t>
    <phoneticPr fontId="1" type="noConversion"/>
  </si>
  <si>
    <t>4/22</t>
    <phoneticPr fontId="1" type="noConversion"/>
  </si>
  <si>
    <t>4/23</t>
    <phoneticPr fontId="1" type="noConversion"/>
  </si>
  <si>
    <t>4/24</t>
    <phoneticPr fontId="1" type="noConversion"/>
  </si>
  <si>
    <t>4/29</t>
    <phoneticPr fontId="1" type="noConversion"/>
  </si>
  <si>
    <t>4/30</t>
    <phoneticPr fontId="1" type="noConversion"/>
  </si>
  <si>
    <t>5/1</t>
    <phoneticPr fontId="1" type="noConversion"/>
  </si>
  <si>
    <t>5/6</t>
    <phoneticPr fontId="1" type="noConversion"/>
  </si>
  <si>
    <t>5/7</t>
    <phoneticPr fontId="1" type="noConversion"/>
  </si>
  <si>
    <t>5/8</t>
    <phoneticPr fontId="1" type="noConversion"/>
  </si>
  <si>
    <t>✔</t>
  </si>
  <si>
    <t>✔</t>
    <phoneticPr fontId="1" type="noConversion"/>
  </si>
  <si>
    <t>黃俊元</t>
  </si>
  <si>
    <t>01231026</t>
    <phoneticPr fontId="1" type="noConversion"/>
  </si>
  <si>
    <t>01181039</t>
    <phoneticPr fontId="1" type="noConversion"/>
  </si>
  <si>
    <t>楊力禹</t>
    <phoneticPr fontId="1" type="noConversion"/>
  </si>
  <si>
    <t>4114E003</t>
    <phoneticPr fontId="1" type="noConversion"/>
  </si>
  <si>
    <t>廖珮琪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</si>
</sst>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42"/>
  <sheetViews>
    <sheetView tabSelected="1" view="pageLayout" topLeftCell="B136" zoomScale="184" zoomScaleNormal="100" zoomScalePageLayoutView="184" workbookViewId="0">
      <selection activeCell="Q141" sqref="Q141"/>
    </sheetView>
  </sheetViews>
  <sheetFormatPr defaultColWidth="9" defaultRowHeight="16.5" x14ac:dyDescent="0.25"/>
  <cols>
    <col min="1" max="1" width="6.125" style="1" customWidth="1"/>
    <col min="2" max="2" width="8.625" style="1" customWidth="1"/>
    <col min="3" max="3" width="8" style="1" customWidth="1"/>
    <col min="4" max="17" width="4.625" style="1" customWidth="1"/>
    <col min="18" max="16384" width="9" style="1"/>
  </cols>
  <sheetData>
    <row r="2" spans="1:17" x14ac:dyDescent="0.25">
      <c r="A2" s="2" t="s">
        <v>0</v>
      </c>
      <c r="B2" s="2" t="s">
        <v>1</v>
      </c>
      <c r="C2" s="2" t="s">
        <v>2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3</v>
      </c>
    </row>
    <row r="3" spans="1:17" x14ac:dyDescent="0.25">
      <c r="A3" s="1" t="str">
        <f>"水產養殖學系"</f>
        <v>水產養殖學系</v>
      </c>
      <c r="B3" s="1" t="str">
        <f>"00833009"</f>
        <v>00833009</v>
      </c>
      <c r="C3" s="1" t="str">
        <f>"陳道威"</f>
        <v>陳道威</v>
      </c>
      <c r="Q3" s="1">
        <v>0</v>
      </c>
    </row>
    <row r="4" spans="1:17" x14ac:dyDescent="0.25">
      <c r="A4" s="1" t="str">
        <f>"水產養殖學系"</f>
        <v>水產養殖學系</v>
      </c>
      <c r="B4" s="1" t="str">
        <f>"01033003"</f>
        <v>01033003</v>
      </c>
      <c r="C4" s="1" t="str">
        <f>"高安"</f>
        <v>高安</v>
      </c>
      <c r="Q4" s="1">
        <v>0</v>
      </c>
    </row>
    <row r="5" spans="1:17" x14ac:dyDescent="0.25">
      <c r="A5" s="1" t="str">
        <f>"水產養殖學系"</f>
        <v>水產養殖學系</v>
      </c>
      <c r="B5" s="1" t="str">
        <f>"01033031"</f>
        <v>01033031</v>
      </c>
      <c r="C5" s="1" t="str">
        <f>"洪妤欣"</f>
        <v>洪妤欣</v>
      </c>
      <c r="Q5" s="1">
        <v>0</v>
      </c>
    </row>
    <row r="6" spans="1:17" x14ac:dyDescent="0.25">
      <c r="A6" s="1" t="str">
        <f>"水產養殖學系"</f>
        <v>水產養殖學系</v>
      </c>
      <c r="B6" s="1" t="str">
        <f>"01033112"</f>
        <v>01033112</v>
      </c>
      <c r="C6" s="1" t="str">
        <f>"錢繼揚"</f>
        <v>錢繼揚</v>
      </c>
      <c r="Q6" s="1">
        <v>0</v>
      </c>
    </row>
    <row r="7" spans="1:17" ht="17.25" x14ac:dyDescent="0.25">
      <c r="A7" s="1" t="str">
        <f>"水產養殖學系"</f>
        <v>水產養殖學系</v>
      </c>
      <c r="B7" s="1" t="str">
        <f>"01033133"</f>
        <v>01033133</v>
      </c>
      <c r="C7" s="1" t="str">
        <f>"陳柏佑"</f>
        <v>陳柏佑</v>
      </c>
      <c r="F7" s="5" t="s">
        <v>18</v>
      </c>
      <c r="P7" s="1" t="s">
        <v>17</v>
      </c>
      <c r="Q7" s="1">
        <v>2</v>
      </c>
    </row>
    <row r="8" spans="1:17" x14ac:dyDescent="0.25">
      <c r="A8" s="1" t="str">
        <f>"海洋生物科技學士學位學程"</f>
        <v>海洋生物科技學士學位學程</v>
      </c>
      <c r="B8" s="1" t="str">
        <f>"01038029"</f>
        <v>01038029</v>
      </c>
      <c r="C8" s="1" t="str">
        <f>"羅昀姿"</f>
        <v>羅昀姿</v>
      </c>
      <c r="Q8" s="1">
        <v>0</v>
      </c>
    </row>
    <row r="9" spans="1:17" x14ac:dyDescent="0.25">
      <c r="A9" s="1" t="str">
        <f>"水產養殖學系"</f>
        <v>水產養殖學系</v>
      </c>
      <c r="B9" s="1" t="str">
        <f>"01081052"</f>
        <v>01081052</v>
      </c>
      <c r="C9" s="1" t="str">
        <f>"黎警謙"</f>
        <v>黎警謙</v>
      </c>
      <c r="Q9" s="1">
        <v>0</v>
      </c>
    </row>
    <row r="10" spans="1:17" x14ac:dyDescent="0.25">
      <c r="A10" s="1" t="str">
        <f>"生命科學暨生物科技學系"</f>
        <v>生命科學暨生物科技學系</v>
      </c>
      <c r="B10" s="1" t="str">
        <f>"01132011"</f>
        <v>01132011</v>
      </c>
      <c r="C10" s="1" t="str">
        <f>"林立親"</f>
        <v>林立親</v>
      </c>
      <c r="E10" s="1" t="s">
        <v>17</v>
      </c>
      <c r="H10" s="1" t="s">
        <v>17</v>
      </c>
      <c r="K10" s="1" t="s">
        <v>17</v>
      </c>
      <c r="N10" s="1" t="s">
        <v>17</v>
      </c>
      <c r="Q10" s="1">
        <v>4</v>
      </c>
    </row>
    <row r="11" spans="1:17" x14ac:dyDescent="0.25">
      <c r="A11" s="1" t="str">
        <f>"食品科學系"</f>
        <v>食品科學系</v>
      </c>
      <c r="B11" s="1" t="str">
        <f>"01132131"</f>
        <v>01132131</v>
      </c>
      <c r="C11" s="1" t="str">
        <f>"黃晨宇"</f>
        <v>黃晨宇</v>
      </c>
      <c r="Q11" s="1">
        <v>0</v>
      </c>
    </row>
    <row r="12" spans="1:17" x14ac:dyDescent="0.25">
      <c r="A12" s="1" t="str">
        <f t="shared" ref="A12:A21" si="0">"水產養殖學系"</f>
        <v>水產養殖學系</v>
      </c>
      <c r="B12" s="1" t="str">
        <f>"01133007"</f>
        <v>01133007</v>
      </c>
      <c r="C12" s="1" t="str">
        <f>"陳婕妤"</f>
        <v>陳婕妤</v>
      </c>
      <c r="I12" s="1" t="s">
        <v>17</v>
      </c>
      <c r="L12" s="1" t="s">
        <v>17</v>
      </c>
      <c r="M12" s="1" t="s">
        <v>17</v>
      </c>
      <c r="N12" s="1" t="s">
        <v>17</v>
      </c>
      <c r="O12" s="1" t="s">
        <v>17</v>
      </c>
      <c r="Q12" s="1">
        <v>5</v>
      </c>
    </row>
    <row r="13" spans="1:17" x14ac:dyDescent="0.25">
      <c r="A13" s="1" t="str">
        <f t="shared" si="0"/>
        <v>水產養殖學系</v>
      </c>
      <c r="B13" s="1" t="str">
        <f>"01133018"</f>
        <v>01133018</v>
      </c>
      <c r="C13" s="1" t="str">
        <f>"陳柏霖"</f>
        <v>陳柏霖</v>
      </c>
      <c r="Q13" s="1">
        <v>0</v>
      </c>
    </row>
    <row r="14" spans="1:17" x14ac:dyDescent="0.25">
      <c r="A14" s="1" t="str">
        <f t="shared" si="0"/>
        <v>水產養殖學系</v>
      </c>
      <c r="B14" s="1" t="str">
        <f>"01133022"</f>
        <v>01133022</v>
      </c>
      <c r="C14" s="1" t="str">
        <f>"蕭聖諺"</f>
        <v>蕭聖諺</v>
      </c>
      <c r="Q14" s="1">
        <v>0</v>
      </c>
    </row>
    <row r="15" spans="1:17" x14ac:dyDescent="0.25">
      <c r="A15" s="1" t="str">
        <f t="shared" si="0"/>
        <v>水產養殖學系</v>
      </c>
      <c r="B15" s="1" t="str">
        <f>"01133024"</f>
        <v>01133024</v>
      </c>
      <c r="C15" s="1" t="str">
        <f>"郭子齊"</f>
        <v>郭子齊</v>
      </c>
      <c r="Q15" s="1">
        <v>0</v>
      </c>
    </row>
    <row r="16" spans="1:17" x14ac:dyDescent="0.25">
      <c r="A16" s="1" t="str">
        <f t="shared" si="0"/>
        <v>水產養殖學系</v>
      </c>
      <c r="B16" s="1" t="str">
        <f>"01133025"</f>
        <v>01133025</v>
      </c>
      <c r="C16" s="1" t="str">
        <f>"萬邑芃"</f>
        <v>萬邑芃</v>
      </c>
      <c r="Q16" s="1">
        <v>0</v>
      </c>
    </row>
    <row r="17" spans="1:17" x14ac:dyDescent="0.25">
      <c r="A17" s="1" t="str">
        <f t="shared" si="0"/>
        <v>水產養殖學系</v>
      </c>
      <c r="B17" s="1" t="str">
        <f>"01133026"</f>
        <v>01133026</v>
      </c>
      <c r="C17" s="1" t="str">
        <f>"蘇倍陞"</f>
        <v>蘇倍陞</v>
      </c>
      <c r="Q17" s="1">
        <v>0</v>
      </c>
    </row>
    <row r="18" spans="1:17" x14ac:dyDescent="0.25">
      <c r="A18" s="1" t="str">
        <f t="shared" si="0"/>
        <v>水產養殖學系</v>
      </c>
      <c r="B18" s="1" t="str">
        <f>"01133027"</f>
        <v>01133027</v>
      </c>
      <c r="C18" s="1" t="str">
        <f>"杜柏勳"</f>
        <v>杜柏勳</v>
      </c>
      <c r="Q18" s="1">
        <v>0</v>
      </c>
    </row>
    <row r="19" spans="1:17" x14ac:dyDescent="0.25">
      <c r="A19" s="1" t="str">
        <f t="shared" si="0"/>
        <v>水產養殖學系</v>
      </c>
      <c r="B19" s="1" t="str">
        <f>"01133036"</f>
        <v>01133036</v>
      </c>
      <c r="C19" s="1" t="str">
        <f>"黃子琳"</f>
        <v>黃子琳</v>
      </c>
      <c r="I19" s="1" t="s">
        <v>17</v>
      </c>
      <c r="Q19" s="1">
        <v>1</v>
      </c>
    </row>
    <row r="20" spans="1:17" x14ac:dyDescent="0.25">
      <c r="A20" s="1" t="str">
        <f t="shared" si="0"/>
        <v>水產養殖學系</v>
      </c>
      <c r="B20" s="1" t="str">
        <f>"01133119"</f>
        <v>01133119</v>
      </c>
      <c r="C20" s="1" t="str">
        <f>"李亞峰"</f>
        <v>李亞峰</v>
      </c>
      <c r="Q20" s="1">
        <v>0</v>
      </c>
    </row>
    <row r="21" spans="1:17" x14ac:dyDescent="0.25">
      <c r="A21" s="1" t="str">
        <f t="shared" si="0"/>
        <v>水產養殖學系</v>
      </c>
      <c r="B21" s="1" t="str">
        <f>"01133136"</f>
        <v>01133136</v>
      </c>
      <c r="C21" s="1" t="str">
        <f>"李勁霆"</f>
        <v>李勁霆</v>
      </c>
      <c r="Q21" s="1">
        <v>0</v>
      </c>
    </row>
    <row r="22" spans="1:17" x14ac:dyDescent="0.25">
      <c r="A22" s="1" t="str">
        <f>"海洋生物科技學士學位學程"</f>
        <v>海洋生物科技學士學位學程</v>
      </c>
      <c r="B22" s="1" t="str">
        <f>"01138015"</f>
        <v>01138015</v>
      </c>
      <c r="C22" s="1" t="str">
        <f>"陳芷宣"</f>
        <v>陳芷宣</v>
      </c>
      <c r="Q22" s="1">
        <v>0</v>
      </c>
    </row>
    <row r="23" spans="1:17" x14ac:dyDescent="0.25">
      <c r="A23" s="1" t="str">
        <f>"海洋生物科技學士學位學程"</f>
        <v>海洋生物科技學士學位學程</v>
      </c>
      <c r="B23" s="1" t="str">
        <f>"01138016"</f>
        <v>01138016</v>
      </c>
      <c r="C23" s="1" t="str">
        <f>"李恩儀"</f>
        <v>李恩儀</v>
      </c>
      <c r="Q23" s="1">
        <v>0</v>
      </c>
    </row>
    <row r="24" spans="1:17" x14ac:dyDescent="0.25">
      <c r="A24" s="1" t="str">
        <f>"海洋生物科技學士學位學程"</f>
        <v>海洋生物科技學士學位學程</v>
      </c>
      <c r="B24" s="1" t="str">
        <f>"01138025"</f>
        <v>01138025</v>
      </c>
      <c r="C24" s="1" t="str">
        <f>"廖心瑜"</f>
        <v>廖心瑜</v>
      </c>
      <c r="Q24" s="1">
        <v>0</v>
      </c>
    </row>
    <row r="25" spans="1:17" x14ac:dyDescent="0.25">
      <c r="A25" s="1" t="str">
        <f>"海洋生物科技學士學位學程"</f>
        <v>海洋生物科技學士學位學程</v>
      </c>
      <c r="B25" s="1" t="str">
        <f>"01138032"</f>
        <v>01138032</v>
      </c>
      <c r="C25" s="1" t="str">
        <f>"詹寶霓"</f>
        <v>詹寶霓</v>
      </c>
      <c r="Q25" s="1">
        <v>0</v>
      </c>
    </row>
    <row r="26" spans="1:17" x14ac:dyDescent="0.25">
      <c r="A26" s="1" t="str">
        <f>"生命科學暨生物科技學系"</f>
        <v>生命科學暨生物科技學系</v>
      </c>
      <c r="B26" s="1" t="str">
        <f>"0113B038"</f>
        <v>0113B038</v>
      </c>
      <c r="C26" s="1" t="str">
        <f>"羅苡心"</f>
        <v>羅苡心</v>
      </c>
      <c r="Q26" s="1">
        <v>0</v>
      </c>
    </row>
    <row r="27" spans="1:17" x14ac:dyDescent="0.25">
      <c r="A27" s="1" t="str">
        <f>"食品科學系"</f>
        <v>食品科學系</v>
      </c>
      <c r="B27" s="1" t="str">
        <f>"01232010"</f>
        <v>01232010</v>
      </c>
      <c r="C27" s="1" t="str">
        <f>"劉姵均"</f>
        <v>劉姵均</v>
      </c>
      <c r="Q27" s="1">
        <v>0</v>
      </c>
    </row>
    <row r="28" spans="1:17" x14ac:dyDescent="0.25">
      <c r="A28" s="1" t="str">
        <f>"食品科學系"</f>
        <v>食品科學系</v>
      </c>
      <c r="B28" s="1" t="str">
        <f>"01232103"</f>
        <v>01232103</v>
      </c>
      <c r="C28" s="1" t="str">
        <f>"吳宸瑋"</f>
        <v>吳宸瑋</v>
      </c>
      <c r="Q28" s="1">
        <v>0</v>
      </c>
    </row>
    <row r="29" spans="1:17" x14ac:dyDescent="0.25">
      <c r="A29" s="1" t="str">
        <f>"食品科學系"</f>
        <v>食品科學系</v>
      </c>
      <c r="B29" s="1" t="str">
        <f>"01232109"</f>
        <v>01232109</v>
      </c>
      <c r="C29" s="1" t="str">
        <f>"卓新皓"</f>
        <v>卓新皓</v>
      </c>
      <c r="Q29" s="1">
        <v>0</v>
      </c>
    </row>
    <row r="30" spans="1:17" x14ac:dyDescent="0.25">
      <c r="A30" s="1" t="str">
        <f>"食品科學系"</f>
        <v>食品科學系</v>
      </c>
      <c r="B30" s="1" t="str">
        <f>"01232126"</f>
        <v>01232126</v>
      </c>
      <c r="C30" s="1" t="str">
        <f>"林文婷"</f>
        <v>林文婷</v>
      </c>
      <c r="Q30" s="1">
        <v>0</v>
      </c>
    </row>
    <row r="31" spans="1:17" x14ac:dyDescent="0.25">
      <c r="A31" s="1" t="str">
        <f t="shared" ref="A31:A47" si="1">"水產養殖學系"</f>
        <v>水產養殖學系</v>
      </c>
      <c r="B31" s="1" t="str">
        <f>"01233121"</f>
        <v>01233121</v>
      </c>
      <c r="C31" s="1" t="str">
        <f>"邱靖元"</f>
        <v>邱靖元</v>
      </c>
      <c r="Q31" s="1">
        <v>0</v>
      </c>
    </row>
    <row r="32" spans="1:17" x14ac:dyDescent="0.25">
      <c r="A32" s="1" t="str">
        <f t="shared" si="1"/>
        <v>水產養殖學系</v>
      </c>
      <c r="B32" s="1" t="str">
        <f>"01233203"</f>
        <v>01233203</v>
      </c>
      <c r="C32" s="1" t="str">
        <f>"古皓菁"</f>
        <v>古皓菁</v>
      </c>
      <c r="I32" s="1" t="s">
        <v>17</v>
      </c>
      <c r="M32" s="1" t="s">
        <v>17</v>
      </c>
      <c r="N32" s="1" t="s">
        <v>17</v>
      </c>
      <c r="O32" s="1" t="s">
        <v>17</v>
      </c>
      <c r="Q32" s="1">
        <v>4</v>
      </c>
    </row>
    <row r="33" spans="1:17" x14ac:dyDescent="0.25">
      <c r="A33" s="1" t="str">
        <f t="shared" si="1"/>
        <v>水產養殖學系</v>
      </c>
      <c r="B33" s="1" t="str">
        <f>"01233209"</f>
        <v>01233209</v>
      </c>
      <c r="C33" s="1" t="str">
        <f>"何立巽"</f>
        <v>何立巽</v>
      </c>
      <c r="Q33" s="1">
        <v>0</v>
      </c>
    </row>
    <row r="34" spans="1:17" x14ac:dyDescent="0.25">
      <c r="A34" s="1" t="str">
        <f t="shared" si="1"/>
        <v>水產養殖學系</v>
      </c>
      <c r="B34" s="1" t="str">
        <f>"01333001"</f>
        <v>01333001</v>
      </c>
      <c r="C34" s="1" t="str">
        <f>"羅方唯"</f>
        <v>羅方唯</v>
      </c>
      <c r="H34" s="1" t="s">
        <v>17</v>
      </c>
      <c r="K34" s="1" t="s">
        <v>17</v>
      </c>
      <c r="N34" s="1" t="s">
        <v>17</v>
      </c>
      <c r="Q34" s="1">
        <v>3</v>
      </c>
    </row>
    <row r="35" spans="1:17" x14ac:dyDescent="0.25">
      <c r="A35" s="1" t="str">
        <f t="shared" si="1"/>
        <v>水產養殖學系</v>
      </c>
      <c r="B35" s="1" t="str">
        <f>"01333002"</f>
        <v>01333002</v>
      </c>
      <c r="C35" s="1" t="str">
        <f>"陽繼涵"</f>
        <v>陽繼涵</v>
      </c>
      <c r="E35" s="1" t="s">
        <v>17</v>
      </c>
      <c r="H35" s="1" t="s">
        <v>17</v>
      </c>
      <c r="K35" s="1" t="s">
        <v>17</v>
      </c>
      <c r="N35" s="1" t="s">
        <v>17</v>
      </c>
      <c r="Q35" s="1">
        <v>4</v>
      </c>
    </row>
    <row r="36" spans="1:17" x14ac:dyDescent="0.25">
      <c r="A36" s="1" t="str">
        <f t="shared" si="1"/>
        <v>水產養殖學系</v>
      </c>
      <c r="B36" s="1" t="str">
        <f>"01333003"</f>
        <v>01333003</v>
      </c>
      <c r="C36" s="1" t="str">
        <f>"吳冠宇"</f>
        <v>吳冠宇</v>
      </c>
      <c r="Q36" s="1">
        <v>0</v>
      </c>
    </row>
    <row r="37" spans="1:17" x14ac:dyDescent="0.25">
      <c r="A37" s="1" t="str">
        <f t="shared" si="1"/>
        <v>水產養殖學系</v>
      </c>
      <c r="B37" s="1" t="str">
        <f>"01333004"</f>
        <v>01333004</v>
      </c>
      <c r="C37" s="1" t="str">
        <f>"黃思閔"</f>
        <v>黃思閔</v>
      </c>
      <c r="Q37" s="1">
        <v>0</v>
      </c>
    </row>
    <row r="38" spans="1:17" x14ac:dyDescent="0.25">
      <c r="A38" s="1" t="str">
        <f t="shared" si="1"/>
        <v>水產養殖學系</v>
      </c>
      <c r="B38" s="1" t="str">
        <f>"01333005"</f>
        <v>01333005</v>
      </c>
      <c r="C38" s="1" t="str">
        <f>"鄭亦銘"</f>
        <v>鄭亦銘</v>
      </c>
      <c r="Q38" s="1">
        <v>0</v>
      </c>
    </row>
    <row r="39" spans="1:17" x14ac:dyDescent="0.25">
      <c r="A39" s="1" t="str">
        <f t="shared" si="1"/>
        <v>水產養殖學系</v>
      </c>
      <c r="B39" s="1" t="str">
        <f>"01333006"</f>
        <v>01333006</v>
      </c>
      <c r="C39" s="1" t="str">
        <f>"粘正揚"</f>
        <v>粘正揚</v>
      </c>
      <c r="E39" s="1" t="s">
        <v>17</v>
      </c>
      <c r="Q39" s="1">
        <v>1</v>
      </c>
    </row>
    <row r="40" spans="1:17" x14ac:dyDescent="0.25">
      <c r="A40" s="1" t="str">
        <f t="shared" si="1"/>
        <v>水產養殖學系</v>
      </c>
      <c r="B40" s="1" t="str">
        <f>"01333007"</f>
        <v>01333007</v>
      </c>
      <c r="C40" s="1" t="str">
        <f>"陳承炫"</f>
        <v>陳承炫</v>
      </c>
      <c r="Q40" s="1">
        <v>0</v>
      </c>
    </row>
    <row r="41" spans="1:17" x14ac:dyDescent="0.25">
      <c r="A41" s="1" t="str">
        <f t="shared" si="1"/>
        <v>水產養殖學系</v>
      </c>
      <c r="B41" s="1" t="str">
        <f>"01333008"</f>
        <v>01333008</v>
      </c>
      <c r="C41" s="1" t="str">
        <f>"張鎧于"</f>
        <v>張鎧于</v>
      </c>
      <c r="Q41" s="1">
        <v>0</v>
      </c>
    </row>
    <row r="42" spans="1:17" x14ac:dyDescent="0.25">
      <c r="A42" s="1" t="str">
        <f t="shared" si="1"/>
        <v>水產養殖學系</v>
      </c>
      <c r="B42" s="1" t="str">
        <f>"01333009"</f>
        <v>01333009</v>
      </c>
      <c r="C42" s="1" t="str">
        <f>"陳筠昊"</f>
        <v>陳筠昊</v>
      </c>
      <c r="Q42" s="1">
        <v>0</v>
      </c>
    </row>
    <row r="43" spans="1:17" x14ac:dyDescent="0.25">
      <c r="A43" s="1" t="str">
        <f t="shared" si="1"/>
        <v>水產養殖學系</v>
      </c>
      <c r="B43" s="1" t="str">
        <f>"01333010"</f>
        <v>01333010</v>
      </c>
      <c r="C43" s="1" t="str">
        <f>"戴君安"</f>
        <v>戴君安</v>
      </c>
      <c r="E43" s="1" t="s">
        <v>17</v>
      </c>
      <c r="H43" s="1" t="s">
        <v>17</v>
      </c>
      <c r="K43" s="1" t="s">
        <v>17</v>
      </c>
      <c r="N43" s="1" t="s">
        <v>17</v>
      </c>
      <c r="Q43" s="1">
        <v>4</v>
      </c>
    </row>
    <row r="44" spans="1:17" x14ac:dyDescent="0.25">
      <c r="A44" s="1" t="str">
        <f t="shared" si="1"/>
        <v>水產養殖學系</v>
      </c>
      <c r="B44" s="1" t="str">
        <f>"01333011"</f>
        <v>01333011</v>
      </c>
      <c r="C44" s="1" t="str">
        <f>"吳誼愷"</f>
        <v>吳誼愷</v>
      </c>
      <c r="Q44" s="1">
        <v>0</v>
      </c>
    </row>
    <row r="45" spans="1:17" x14ac:dyDescent="0.25">
      <c r="A45" s="1" t="str">
        <f t="shared" si="1"/>
        <v>水產養殖學系</v>
      </c>
      <c r="B45" s="1" t="str">
        <f>"01333012"</f>
        <v>01333012</v>
      </c>
      <c r="C45" s="1" t="str">
        <f>"黃芊幃"</f>
        <v>黃芊幃</v>
      </c>
      <c r="Q45" s="1">
        <v>0</v>
      </c>
    </row>
    <row r="46" spans="1:17" x14ac:dyDescent="0.25">
      <c r="A46" s="1" t="str">
        <f t="shared" si="1"/>
        <v>水產養殖學系</v>
      </c>
      <c r="B46" s="1" t="str">
        <f>"01333013"</f>
        <v>01333013</v>
      </c>
      <c r="C46" s="1" t="str">
        <f>"范萬醇"</f>
        <v>范萬醇</v>
      </c>
      <c r="Q46" s="1">
        <v>0</v>
      </c>
    </row>
    <row r="47" spans="1:17" x14ac:dyDescent="0.25">
      <c r="A47" s="1" t="str">
        <f t="shared" si="1"/>
        <v>水產養殖學系</v>
      </c>
      <c r="B47" s="1" t="str">
        <f>"01333014"</f>
        <v>01333014</v>
      </c>
      <c r="C47" s="1" t="str">
        <f>"王心俞"</f>
        <v>王心俞</v>
      </c>
      <c r="Q47" s="1">
        <v>0</v>
      </c>
    </row>
    <row r="48" spans="1:17" x14ac:dyDescent="0.25">
      <c r="A48" s="2" t="s">
        <v>0</v>
      </c>
      <c r="B48" s="2" t="s">
        <v>1</v>
      </c>
      <c r="C48" s="2" t="s">
        <v>2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3" t="s">
        <v>14</v>
      </c>
      <c r="O48" s="3" t="s">
        <v>15</v>
      </c>
      <c r="P48" s="3" t="s">
        <v>16</v>
      </c>
      <c r="Q48" s="4" t="s">
        <v>3</v>
      </c>
    </row>
    <row r="49" spans="1:17" x14ac:dyDescent="0.25">
      <c r="A49" s="1" t="str">
        <f t="shared" ref="A49:A94" si="2">"水產養殖學系"</f>
        <v>水產養殖學系</v>
      </c>
      <c r="B49" s="1" t="str">
        <f>"01333016"</f>
        <v>01333016</v>
      </c>
      <c r="C49" s="1" t="str">
        <f>"陳奕安"</f>
        <v>陳奕安</v>
      </c>
      <c r="Q49" s="1">
        <v>0</v>
      </c>
    </row>
    <row r="50" spans="1:17" x14ac:dyDescent="0.25">
      <c r="A50" s="1" t="str">
        <f t="shared" si="2"/>
        <v>水產養殖學系</v>
      </c>
      <c r="B50" s="1" t="str">
        <f>"01333017"</f>
        <v>01333017</v>
      </c>
      <c r="C50" s="1" t="str">
        <f>"楊智翔"</f>
        <v>楊智翔</v>
      </c>
      <c r="Q50" s="1">
        <v>0</v>
      </c>
    </row>
    <row r="51" spans="1:17" x14ac:dyDescent="0.25">
      <c r="A51" s="1" t="str">
        <f t="shared" si="2"/>
        <v>水產養殖學系</v>
      </c>
      <c r="B51" s="1" t="str">
        <f>"01333018"</f>
        <v>01333018</v>
      </c>
      <c r="C51" s="1" t="str">
        <f>"楊瑞筑"</f>
        <v>楊瑞筑</v>
      </c>
      <c r="E51" s="1" t="s">
        <v>17</v>
      </c>
      <c r="Q51" s="1">
        <v>1</v>
      </c>
    </row>
    <row r="52" spans="1:17" x14ac:dyDescent="0.25">
      <c r="A52" s="1" t="str">
        <f t="shared" si="2"/>
        <v>水產養殖學系</v>
      </c>
      <c r="B52" s="1" t="str">
        <f>"01333019"</f>
        <v>01333019</v>
      </c>
      <c r="C52" s="1" t="str">
        <f>"林昱嘉"</f>
        <v>林昱嘉</v>
      </c>
      <c r="Q52" s="1">
        <v>0</v>
      </c>
    </row>
    <row r="53" spans="1:17" x14ac:dyDescent="0.25">
      <c r="A53" s="1" t="str">
        <f t="shared" si="2"/>
        <v>水產養殖學系</v>
      </c>
      <c r="B53" s="1" t="str">
        <f>"01333020"</f>
        <v>01333020</v>
      </c>
      <c r="C53" s="1" t="str">
        <f>"黃聿甄"</f>
        <v>黃聿甄</v>
      </c>
      <c r="Q53" s="1">
        <v>0</v>
      </c>
    </row>
    <row r="54" spans="1:17" x14ac:dyDescent="0.25">
      <c r="A54" s="1" t="str">
        <f t="shared" si="2"/>
        <v>水產養殖學系</v>
      </c>
      <c r="B54" s="1" t="str">
        <f>"01333021"</f>
        <v>01333021</v>
      </c>
      <c r="C54" s="1" t="str">
        <f>"何研丞"</f>
        <v>何研丞</v>
      </c>
      <c r="E54" s="1" t="s">
        <v>17</v>
      </c>
      <c r="H54" s="1" t="s">
        <v>17</v>
      </c>
      <c r="K54" s="1" t="s">
        <v>17</v>
      </c>
      <c r="N54" s="1" t="s">
        <v>17</v>
      </c>
      <c r="Q54" s="1">
        <v>4</v>
      </c>
    </row>
    <row r="55" spans="1:17" x14ac:dyDescent="0.25">
      <c r="A55" s="1" t="str">
        <f t="shared" si="2"/>
        <v>水產養殖學系</v>
      </c>
      <c r="B55" s="1" t="str">
        <f>"01333022"</f>
        <v>01333022</v>
      </c>
      <c r="C55" s="1" t="str">
        <f>"曾致樸"</f>
        <v>曾致樸</v>
      </c>
      <c r="Q55" s="1">
        <v>0</v>
      </c>
    </row>
    <row r="56" spans="1:17" x14ac:dyDescent="0.25">
      <c r="A56" s="1" t="str">
        <f t="shared" si="2"/>
        <v>水產養殖學系</v>
      </c>
      <c r="B56" s="1" t="str">
        <f>"01333023"</f>
        <v>01333023</v>
      </c>
      <c r="C56" s="1" t="str">
        <f>"李柏亨"</f>
        <v>李柏亨</v>
      </c>
      <c r="E56" s="1" t="s">
        <v>17</v>
      </c>
      <c r="Q56" s="1">
        <v>1</v>
      </c>
    </row>
    <row r="57" spans="1:17" x14ac:dyDescent="0.25">
      <c r="A57" s="1" t="str">
        <f t="shared" si="2"/>
        <v>水產養殖學系</v>
      </c>
      <c r="B57" s="1" t="str">
        <f>"01333024"</f>
        <v>01333024</v>
      </c>
      <c r="C57" s="1" t="str">
        <f>"李伊恩"</f>
        <v>李伊恩</v>
      </c>
      <c r="Q57" s="1">
        <v>0</v>
      </c>
    </row>
    <row r="58" spans="1:17" x14ac:dyDescent="0.25">
      <c r="A58" s="1" t="str">
        <f t="shared" si="2"/>
        <v>水產養殖學系</v>
      </c>
      <c r="B58" s="1" t="str">
        <f>"01333025"</f>
        <v>01333025</v>
      </c>
      <c r="C58" s="1" t="str">
        <f>"彭子謙"</f>
        <v>彭子謙</v>
      </c>
      <c r="Q58" s="1">
        <v>0</v>
      </c>
    </row>
    <row r="59" spans="1:17" x14ac:dyDescent="0.25">
      <c r="A59" s="1" t="str">
        <f t="shared" si="2"/>
        <v>水產養殖學系</v>
      </c>
      <c r="B59" s="1" t="str">
        <f>"01333026"</f>
        <v>01333026</v>
      </c>
      <c r="C59" s="1" t="str">
        <f>"卓劭衡"</f>
        <v>卓劭衡</v>
      </c>
      <c r="Q59" s="1">
        <v>0</v>
      </c>
    </row>
    <row r="60" spans="1:17" x14ac:dyDescent="0.25">
      <c r="A60" s="1" t="str">
        <f t="shared" si="2"/>
        <v>水產養殖學系</v>
      </c>
      <c r="B60" s="1" t="str">
        <f>"01333027"</f>
        <v>01333027</v>
      </c>
      <c r="C60" s="1" t="str">
        <f>"王廷瑋"</f>
        <v>王廷瑋</v>
      </c>
      <c r="Q60" s="1">
        <v>0</v>
      </c>
    </row>
    <row r="61" spans="1:17" x14ac:dyDescent="0.25">
      <c r="A61" s="1" t="str">
        <f t="shared" si="2"/>
        <v>水產養殖學系</v>
      </c>
      <c r="B61" s="1" t="str">
        <f>"01333028"</f>
        <v>01333028</v>
      </c>
      <c r="C61" s="1" t="str">
        <f>"劉佳瑄"</f>
        <v>劉佳瑄</v>
      </c>
      <c r="Q61" s="1">
        <v>0</v>
      </c>
    </row>
    <row r="62" spans="1:17" x14ac:dyDescent="0.25">
      <c r="A62" s="1" t="str">
        <f t="shared" si="2"/>
        <v>水產養殖學系</v>
      </c>
      <c r="B62" s="1" t="str">
        <f>"01333029"</f>
        <v>01333029</v>
      </c>
      <c r="C62" s="1" t="str">
        <f>"邱旭偉"</f>
        <v>邱旭偉</v>
      </c>
      <c r="Q62" s="1">
        <v>0</v>
      </c>
    </row>
    <row r="63" spans="1:17" x14ac:dyDescent="0.25">
      <c r="A63" s="1" t="str">
        <f t="shared" si="2"/>
        <v>水產養殖學系</v>
      </c>
      <c r="B63" s="1" t="str">
        <f>"01333030"</f>
        <v>01333030</v>
      </c>
      <c r="C63" s="1" t="str">
        <f>"何俊億"</f>
        <v>何俊億</v>
      </c>
      <c r="Q63" s="1">
        <v>0</v>
      </c>
    </row>
    <row r="64" spans="1:17" x14ac:dyDescent="0.25">
      <c r="A64" s="1" t="str">
        <f t="shared" si="2"/>
        <v>水產養殖學系</v>
      </c>
      <c r="B64" s="1" t="str">
        <f>"01333031"</f>
        <v>01333031</v>
      </c>
      <c r="C64" s="1" t="str">
        <f>"黃怡涵"</f>
        <v>黃怡涵</v>
      </c>
      <c r="Q64" s="1">
        <v>0</v>
      </c>
    </row>
    <row r="65" spans="1:17" x14ac:dyDescent="0.25">
      <c r="A65" s="1" t="str">
        <f t="shared" si="2"/>
        <v>水產養殖學系</v>
      </c>
      <c r="B65" s="1" t="str">
        <f>"01333032"</f>
        <v>01333032</v>
      </c>
      <c r="C65" s="1" t="str">
        <f>"許庭瑜"</f>
        <v>許庭瑜</v>
      </c>
      <c r="E65" s="1" t="s">
        <v>17</v>
      </c>
      <c r="Q65" s="1">
        <v>1</v>
      </c>
    </row>
    <row r="66" spans="1:17" x14ac:dyDescent="0.25">
      <c r="A66" s="1" t="str">
        <f t="shared" si="2"/>
        <v>水產養殖學系</v>
      </c>
      <c r="B66" s="1" t="str">
        <f>"01333033"</f>
        <v>01333033</v>
      </c>
      <c r="C66" s="1" t="str">
        <f>"鄭緯庭"</f>
        <v>鄭緯庭</v>
      </c>
      <c r="Q66" s="1">
        <v>0</v>
      </c>
    </row>
    <row r="67" spans="1:17" x14ac:dyDescent="0.25">
      <c r="A67" s="1" t="str">
        <f t="shared" si="2"/>
        <v>水產養殖學系</v>
      </c>
      <c r="B67" s="1" t="str">
        <f>"01333034"</f>
        <v>01333034</v>
      </c>
      <c r="C67" s="1" t="str">
        <f>"楊子毅"</f>
        <v>楊子毅</v>
      </c>
      <c r="Q67" s="1">
        <v>0</v>
      </c>
    </row>
    <row r="68" spans="1:17" x14ac:dyDescent="0.25">
      <c r="A68" s="1" t="str">
        <f t="shared" si="2"/>
        <v>水產養殖學系</v>
      </c>
      <c r="B68" s="1" t="str">
        <f>"01333035"</f>
        <v>01333035</v>
      </c>
      <c r="C68" s="1" t="str">
        <f>"鄧宇程"</f>
        <v>鄧宇程</v>
      </c>
      <c r="E68" s="1" t="s">
        <v>17</v>
      </c>
      <c r="Q68" s="1">
        <v>1</v>
      </c>
    </row>
    <row r="69" spans="1:17" x14ac:dyDescent="0.25">
      <c r="A69" s="1" t="str">
        <f t="shared" si="2"/>
        <v>水產養殖學系</v>
      </c>
      <c r="B69" s="1" t="str">
        <f>"01333036"</f>
        <v>01333036</v>
      </c>
      <c r="C69" s="1" t="str">
        <f>"林楷翔"</f>
        <v>林楷翔</v>
      </c>
      <c r="Q69" s="1">
        <v>0</v>
      </c>
    </row>
    <row r="70" spans="1:17" x14ac:dyDescent="0.25">
      <c r="A70" s="1" t="str">
        <f t="shared" si="2"/>
        <v>水產養殖學系</v>
      </c>
      <c r="B70" s="1" t="str">
        <f>"01333038"</f>
        <v>01333038</v>
      </c>
      <c r="C70" s="1" t="str">
        <f>"姚欣誼"</f>
        <v>姚欣誼</v>
      </c>
      <c r="Q70" s="1">
        <v>0</v>
      </c>
    </row>
    <row r="71" spans="1:17" x14ac:dyDescent="0.25">
      <c r="A71" s="1" t="str">
        <f t="shared" si="2"/>
        <v>水產養殖學系</v>
      </c>
      <c r="B71" s="1" t="str">
        <f>"01333040"</f>
        <v>01333040</v>
      </c>
      <c r="C71" s="1" t="str">
        <f>"范云澧"</f>
        <v>范云澧</v>
      </c>
      <c r="Q71" s="1">
        <v>0</v>
      </c>
    </row>
    <row r="72" spans="1:17" x14ac:dyDescent="0.25">
      <c r="A72" s="1" t="str">
        <f t="shared" si="2"/>
        <v>水產養殖學系</v>
      </c>
      <c r="B72" s="1" t="str">
        <f>"01333041"</f>
        <v>01333041</v>
      </c>
      <c r="C72" s="1" t="str">
        <f>"許博均"</f>
        <v>許博均</v>
      </c>
      <c r="Q72" s="1">
        <v>0</v>
      </c>
    </row>
    <row r="73" spans="1:17" x14ac:dyDescent="0.25">
      <c r="A73" s="1" t="str">
        <f t="shared" si="2"/>
        <v>水產養殖學系</v>
      </c>
      <c r="B73" s="1" t="str">
        <f>"01333042"</f>
        <v>01333042</v>
      </c>
      <c r="C73" s="1" t="str">
        <f>"張震"</f>
        <v>張震</v>
      </c>
      <c r="Q73" s="1">
        <v>0</v>
      </c>
    </row>
    <row r="74" spans="1:17" x14ac:dyDescent="0.25">
      <c r="A74" s="1" t="str">
        <f t="shared" si="2"/>
        <v>水產養殖學系</v>
      </c>
      <c r="B74" s="1" t="str">
        <f>"01333043"</f>
        <v>01333043</v>
      </c>
      <c r="C74" s="1" t="str">
        <f>"許心綾"</f>
        <v>許心綾</v>
      </c>
      <c r="E74" s="1" t="s">
        <v>17</v>
      </c>
      <c r="Q74" s="1">
        <v>1</v>
      </c>
    </row>
    <row r="75" spans="1:17" x14ac:dyDescent="0.25">
      <c r="A75" s="1" t="str">
        <f t="shared" si="2"/>
        <v>水產養殖學系</v>
      </c>
      <c r="B75" s="1" t="str">
        <f>"01333044"</f>
        <v>01333044</v>
      </c>
      <c r="C75" s="1" t="str">
        <f>"李睿哲"</f>
        <v>李睿哲</v>
      </c>
      <c r="Q75" s="1">
        <v>0</v>
      </c>
    </row>
    <row r="76" spans="1:17" x14ac:dyDescent="0.25">
      <c r="A76" s="1" t="str">
        <f t="shared" si="2"/>
        <v>水產養殖學系</v>
      </c>
      <c r="B76" s="1" t="str">
        <f>"01333045"</f>
        <v>01333045</v>
      </c>
      <c r="C76" s="1" t="str">
        <f>"翁維廷"</f>
        <v>翁維廷</v>
      </c>
      <c r="Q76" s="1">
        <v>0</v>
      </c>
    </row>
    <row r="77" spans="1:17" x14ac:dyDescent="0.25">
      <c r="A77" s="1" t="str">
        <f t="shared" si="2"/>
        <v>水產養殖學系</v>
      </c>
      <c r="B77" s="1" t="str">
        <f>"01333046"</f>
        <v>01333046</v>
      </c>
      <c r="C77" s="1" t="str">
        <f>"文岱榕"</f>
        <v>文岱榕</v>
      </c>
      <c r="H77" s="1" t="s">
        <v>17</v>
      </c>
      <c r="N77" s="1" t="s">
        <v>17</v>
      </c>
      <c r="Q77" s="1">
        <v>2</v>
      </c>
    </row>
    <row r="78" spans="1:17" x14ac:dyDescent="0.25">
      <c r="A78" s="1" t="str">
        <f t="shared" si="2"/>
        <v>水產養殖學系</v>
      </c>
      <c r="B78" s="1" t="str">
        <f>"01333047"</f>
        <v>01333047</v>
      </c>
      <c r="C78" s="1" t="str">
        <f>"李順立"</f>
        <v>李順立</v>
      </c>
      <c r="E78" s="1" t="s">
        <v>17</v>
      </c>
      <c r="K78" s="1" t="s">
        <v>17</v>
      </c>
      <c r="P78" s="1" t="s">
        <v>17</v>
      </c>
      <c r="Q78" s="1">
        <v>3</v>
      </c>
    </row>
    <row r="79" spans="1:17" x14ac:dyDescent="0.25">
      <c r="A79" s="1" t="str">
        <f t="shared" si="2"/>
        <v>水產養殖學系</v>
      </c>
      <c r="B79" s="1" t="str">
        <f>"01333048"</f>
        <v>01333048</v>
      </c>
      <c r="C79" s="1" t="str">
        <f>"林銳灃"</f>
        <v>林銳灃</v>
      </c>
      <c r="Q79" s="1">
        <v>0</v>
      </c>
    </row>
    <row r="80" spans="1:17" x14ac:dyDescent="0.25">
      <c r="A80" s="1" t="str">
        <f t="shared" si="2"/>
        <v>水產養殖學系</v>
      </c>
      <c r="B80" s="1" t="str">
        <f>"01333049"</f>
        <v>01333049</v>
      </c>
      <c r="C80" s="1" t="str">
        <f>"徐豐昌"</f>
        <v>徐豐昌</v>
      </c>
      <c r="Q80" s="1">
        <v>0</v>
      </c>
    </row>
    <row r="81" spans="1:17" x14ac:dyDescent="0.25">
      <c r="A81" s="1" t="str">
        <f t="shared" si="2"/>
        <v>水產養殖學系</v>
      </c>
      <c r="B81" s="1" t="str">
        <f>"01333050"</f>
        <v>01333050</v>
      </c>
      <c r="C81" s="1" t="str">
        <f>"陳泓昇"</f>
        <v>陳泓昇</v>
      </c>
      <c r="Q81" s="1">
        <v>0</v>
      </c>
    </row>
    <row r="82" spans="1:17" x14ac:dyDescent="0.25">
      <c r="A82" s="1" t="str">
        <f t="shared" si="2"/>
        <v>水產養殖學系</v>
      </c>
      <c r="B82" s="1" t="str">
        <f>"01333051"</f>
        <v>01333051</v>
      </c>
      <c r="C82" s="1" t="str">
        <f>"黃帝平"</f>
        <v>黃帝平</v>
      </c>
      <c r="Q82" s="1">
        <v>0</v>
      </c>
    </row>
    <row r="83" spans="1:17" x14ac:dyDescent="0.25">
      <c r="A83" s="1" t="str">
        <f t="shared" si="2"/>
        <v>水產養殖學系</v>
      </c>
      <c r="B83" s="1" t="str">
        <f>"01333052"</f>
        <v>01333052</v>
      </c>
      <c r="C83" s="1" t="str">
        <f>"鍾順興"</f>
        <v>鍾順興</v>
      </c>
      <c r="Q83" s="1">
        <v>0</v>
      </c>
    </row>
    <row r="84" spans="1:17" x14ac:dyDescent="0.25">
      <c r="A84" s="1" t="str">
        <f t="shared" si="2"/>
        <v>水產養殖學系</v>
      </c>
      <c r="B84" s="1" t="str">
        <f>"01333101"</f>
        <v>01333101</v>
      </c>
      <c r="C84" s="1" t="str">
        <f>"鮑晴陽"</f>
        <v>鮑晴陽</v>
      </c>
      <c r="Q84" s="1">
        <v>0</v>
      </c>
    </row>
    <row r="85" spans="1:17" x14ac:dyDescent="0.25">
      <c r="A85" s="1" t="str">
        <f t="shared" si="2"/>
        <v>水產養殖學系</v>
      </c>
      <c r="B85" s="1" t="str">
        <f>"01333102"</f>
        <v>01333102</v>
      </c>
      <c r="C85" s="1" t="str">
        <f>"蘇恩信"</f>
        <v>蘇恩信</v>
      </c>
      <c r="Q85" s="1">
        <v>0</v>
      </c>
    </row>
    <row r="86" spans="1:17" x14ac:dyDescent="0.25">
      <c r="A86" s="1" t="str">
        <f t="shared" si="2"/>
        <v>水產養殖學系</v>
      </c>
      <c r="B86" s="1" t="str">
        <f>"01333103"</f>
        <v>01333103</v>
      </c>
      <c r="C86" s="1" t="str">
        <f>"黃翊愷"</f>
        <v>黃翊愷</v>
      </c>
      <c r="Q86" s="1">
        <v>0</v>
      </c>
    </row>
    <row r="87" spans="1:17" x14ac:dyDescent="0.25">
      <c r="A87" s="1" t="str">
        <f t="shared" si="2"/>
        <v>水產養殖學系</v>
      </c>
      <c r="B87" s="1" t="str">
        <f>"01333104"</f>
        <v>01333104</v>
      </c>
      <c r="C87" s="1" t="str">
        <f>"林揆哲"</f>
        <v>林揆哲</v>
      </c>
      <c r="Q87" s="1">
        <v>0</v>
      </c>
    </row>
    <row r="88" spans="1:17" x14ac:dyDescent="0.25">
      <c r="A88" s="1" t="str">
        <f t="shared" si="2"/>
        <v>水產養殖學系</v>
      </c>
      <c r="B88" s="1" t="str">
        <f>"01333105"</f>
        <v>01333105</v>
      </c>
      <c r="C88" s="1" t="str">
        <f>"吳品儀"</f>
        <v>吳品儀</v>
      </c>
      <c r="Q88" s="1">
        <v>0</v>
      </c>
    </row>
    <row r="89" spans="1:17" x14ac:dyDescent="0.25">
      <c r="A89" s="1" t="str">
        <f t="shared" si="2"/>
        <v>水產養殖學系</v>
      </c>
      <c r="B89" s="1" t="str">
        <f>"01333106"</f>
        <v>01333106</v>
      </c>
      <c r="C89" s="1" t="str">
        <f>"胡軒豪"</f>
        <v>胡軒豪</v>
      </c>
      <c r="Q89" s="1">
        <v>0</v>
      </c>
    </row>
    <row r="90" spans="1:17" x14ac:dyDescent="0.25">
      <c r="A90" s="1" t="str">
        <f t="shared" si="2"/>
        <v>水產養殖學系</v>
      </c>
      <c r="B90" s="1" t="str">
        <f>"01333107"</f>
        <v>01333107</v>
      </c>
      <c r="C90" s="1" t="str">
        <f>"張致維"</f>
        <v>張致維</v>
      </c>
      <c r="Q90" s="1">
        <v>0</v>
      </c>
    </row>
    <row r="91" spans="1:17" x14ac:dyDescent="0.25">
      <c r="A91" s="1" t="str">
        <f t="shared" si="2"/>
        <v>水產養殖學系</v>
      </c>
      <c r="B91" s="1" t="str">
        <f>"01333108"</f>
        <v>01333108</v>
      </c>
      <c r="C91" s="1" t="str">
        <f>"蔡鈞侑"</f>
        <v>蔡鈞侑</v>
      </c>
      <c r="Q91" s="1">
        <v>0</v>
      </c>
    </row>
    <row r="92" spans="1:17" x14ac:dyDescent="0.25">
      <c r="A92" s="1" t="str">
        <f t="shared" si="2"/>
        <v>水產養殖學系</v>
      </c>
      <c r="B92" s="1" t="str">
        <f>"01333109"</f>
        <v>01333109</v>
      </c>
      <c r="C92" s="1" t="str">
        <f>"高秉瑜"</f>
        <v>高秉瑜</v>
      </c>
      <c r="Q92" s="1">
        <v>0</v>
      </c>
    </row>
    <row r="93" spans="1:17" x14ac:dyDescent="0.25">
      <c r="A93" s="1" t="str">
        <f t="shared" si="2"/>
        <v>水產養殖學系</v>
      </c>
      <c r="B93" s="1" t="str">
        <f>"01333110"</f>
        <v>01333110</v>
      </c>
      <c r="C93" s="1" t="str">
        <f>"黃靖雅"</f>
        <v>黃靖雅</v>
      </c>
      <c r="Q93" s="1">
        <v>0</v>
      </c>
    </row>
    <row r="94" spans="1:17" x14ac:dyDescent="0.25">
      <c r="A94" s="1" t="str">
        <f t="shared" si="2"/>
        <v>水產養殖學系</v>
      </c>
      <c r="B94" s="1" t="str">
        <f>"01333111"</f>
        <v>01333111</v>
      </c>
      <c r="C94" s="1" t="str">
        <f>"陳沂鋒"</f>
        <v>陳沂鋒</v>
      </c>
      <c r="Q94" s="1">
        <v>0</v>
      </c>
    </row>
    <row r="95" spans="1:17" x14ac:dyDescent="0.25">
      <c r="A95" s="2" t="s">
        <v>0</v>
      </c>
      <c r="B95" s="2" t="s">
        <v>1</v>
      </c>
      <c r="C95" s="2" t="s">
        <v>2</v>
      </c>
      <c r="D95" s="3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3" t="s">
        <v>15</v>
      </c>
      <c r="P95" s="3" t="s">
        <v>16</v>
      </c>
      <c r="Q95" s="1" t="s">
        <v>3</v>
      </c>
    </row>
    <row r="96" spans="1:17" x14ac:dyDescent="0.25">
      <c r="A96" s="1" t="str">
        <f t="shared" ref="A96:A134" si="3">"水產養殖學系"</f>
        <v>水產養殖學系</v>
      </c>
      <c r="B96" s="1" t="str">
        <f>"01333112"</f>
        <v>01333112</v>
      </c>
      <c r="C96" s="1" t="str">
        <f>"花鎮翊"</f>
        <v>花鎮翊</v>
      </c>
      <c r="Q96" s="1">
        <v>0</v>
      </c>
    </row>
    <row r="97" spans="1:17" x14ac:dyDescent="0.25">
      <c r="A97" s="1" t="str">
        <f t="shared" si="3"/>
        <v>水產養殖學系</v>
      </c>
      <c r="B97" s="1" t="str">
        <f>"01333113"</f>
        <v>01333113</v>
      </c>
      <c r="C97" s="1" t="str">
        <f>"陳嶧"</f>
        <v>陳嶧</v>
      </c>
      <c r="Q97" s="1">
        <v>0</v>
      </c>
    </row>
    <row r="98" spans="1:17" x14ac:dyDescent="0.25">
      <c r="A98" s="1" t="str">
        <f t="shared" si="3"/>
        <v>水產養殖學系</v>
      </c>
      <c r="B98" s="1" t="str">
        <f>"01333115"</f>
        <v>01333115</v>
      </c>
      <c r="C98" s="1" t="str">
        <f>"洪旻妍"</f>
        <v>洪旻妍</v>
      </c>
      <c r="Q98" s="1">
        <v>0</v>
      </c>
    </row>
    <row r="99" spans="1:17" x14ac:dyDescent="0.25">
      <c r="A99" s="1" t="str">
        <f t="shared" si="3"/>
        <v>水產養殖學系</v>
      </c>
      <c r="B99" s="1" t="str">
        <f>"01333116"</f>
        <v>01333116</v>
      </c>
      <c r="C99" s="1" t="str">
        <f>"鄭丞閔"</f>
        <v>鄭丞閔</v>
      </c>
      <c r="Q99" s="1">
        <v>0</v>
      </c>
    </row>
    <row r="100" spans="1:17" x14ac:dyDescent="0.25">
      <c r="A100" s="1" t="str">
        <f t="shared" si="3"/>
        <v>水產養殖學系</v>
      </c>
      <c r="B100" s="1" t="str">
        <f>"01333117"</f>
        <v>01333117</v>
      </c>
      <c r="C100" s="1" t="str">
        <f>"陳彥旭"</f>
        <v>陳彥旭</v>
      </c>
      <c r="Q100" s="1">
        <v>0</v>
      </c>
    </row>
    <row r="101" spans="1:17" x14ac:dyDescent="0.25">
      <c r="A101" s="1" t="str">
        <f t="shared" si="3"/>
        <v>水產養殖學系</v>
      </c>
      <c r="B101" s="1" t="str">
        <f>"01333118"</f>
        <v>01333118</v>
      </c>
      <c r="C101" s="1" t="str">
        <f>"林彤珊"</f>
        <v>林彤珊</v>
      </c>
      <c r="E101" s="1" t="s">
        <v>17</v>
      </c>
      <c r="H101" s="1" t="s">
        <v>17</v>
      </c>
      <c r="K101" s="1" t="s">
        <v>17</v>
      </c>
      <c r="N101" s="1" t="s">
        <v>17</v>
      </c>
      <c r="Q101" s="1">
        <v>4</v>
      </c>
    </row>
    <row r="102" spans="1:17" x14ac:dyDescent="0.25">
      <c r="A102" s="1" t="str">
        <f t="shared" si="3"/>
        <v>水產養殖學系</v>
      </c>
      <c r="B102" s="1" t="str">
        <f>"01333119"</f>
        <v>01333119</v>
      </c>
      <c r="C102" s="1" t="str">
        <f>"陳泓銓"</f>
        <v>陳泓銓</v>
      </c>
      <c r="Q102" s="1">
        <v>0</v>
      </c>
    </row>
    <row r="103" spans="1:17" x14ac:dyDescent="0.25">
      <c r="A103" s="1" t="str">
        <f t="shared" si="3"/>
        <v>水產養殖學系</v>
      </c>
      <c r="B103" s="1" t="str">
        <f>"01333120"</f>
        <v>01333120</v>
      </c>
      <c r="C103" s="1" t="str">
        <f>"廖書釩"</f>
        <v>廖書釩</v>
      </c>
      <c r="Q103" s="1">
        <v>0</v>
      </c>
    </row>
    <row r="104" spans="1:17" x14ac:dyDescent="0.25">
      <c r="A104" s="1" t="str">
        <f t="shared" si="3"/>
        <v>水產養殖學系</v>
      </c>
      <c r="B104" s="1" t="str">
        <f>"01333121"</f>
        <v>01333121</v>
      </c>
      <c r="C104" s="1" t="str">
        <f>"陳宥均"</f>
        <v>陳宥均</v>
      </c>
      <c r="Q104" s="1">
        <v>0</v>
      </c>
    </row>
    <row r="105" spans="1:17" x14ac:dyDescent="0.25">
      <c r="A105" s="1" t="str">
        <f t="shared" si="3"/>
        <v>水產養殖學系</v>
      </c>
      <c r="B105" s="1" t="str">
        <f>"01333122"</f>
        <v>01333122</v>
      </c>
      <c r="C105" s="1" t="str">
        <f>"林于安"</f>
        <v>林于安</v>
      </c>
      <c r="Q105" s="1">
        <v>0</v>
      </c>
    </row>
    <row r="106" spans="1:17" x14ac:dyDescent="0.25">
      <c r="A106" s="1" t="str">
        <f t="shared" si="3"/>
        <v>水產養殖學系</v>
      </c>
      <c r="B106" s="1" t="str">
        <f>"01333123"</f>
        <v>01333123</v>
      </c>
      <c r="C106" s="1" t="str">
        <f>"王芯蕙"</f>
        <v>王芯蕙</v>
      </c>
      <c r="N106" s="1" t="s">
        <v>17</v>
      </c>
      <c r="Q106" s="1">
        <v>1</v>
      </c>
    </row>
    <row r="107" spans="1:17" x14ac:dyDescent="0.25">
      <c r="A107" s="1" t="str">
        <f t="shared" si="3"/>
        <v>水產養殖學系</v>
      </c>
      <c r="B107" s="1" t="str">
        <f>"01333124"</f>
        <v>01333124</v>
      </c>
      <c r="C107" s="1" t="str">
        <f>"李宛庭"</f>
        <v>李宛庭</v>
      </c>
      <c r="Q107" s="1">
        <v>0</v>
      </c>
    </row>
    <row r="108" spans="1:17" x14ac:dyDescent="0.25">
      <c r="A108" s="1" t="str">
        <f t="shared" si="3"/>
        <v>水產養殖學系</v>
      </c>
      <c r="B108" s="1" t="str">
        <f>"01333125"</f>
        <v>01333125</v>
      </c>
      <c r="C108" s="1" t="str">
        <f>"梁華軒"</f>
        <v>梁華軒</v>
      </c>
      <c r="Q108" s="1">
        <v>0</v>
      </c>
    </row>
    <row r="109" spans="1:17" x14ac:dyDescent="0.25">
      <c r="A109" s="1" t="str">
        <f t="shared" si="3"/>
        <v>水產養殖學系</v>
      </c>
      <c r="B109" s="1" t="str">
        <f>"01333126"</f>
        <v>01333126</v>
      </c>
      <c r="C109" s="1" t="str">
        <f>"劉信廷"</f>
        <v>劉信廷</v>
      </c>
      <c r="Q109" s="1">
        <v>0</v>
      </c>
    </row>
    <row r="110" spans="1:17" x14ac:dyDescent="0.25">
      <c r="A110" s="1" t="str">
        <f t="shared" si="3"/>
        <v>水產養殖學系</v>
      </c>
      <c r="B110" s="1" t="str">
        <f>"01333127"</f>
        <v>01333127</v>
      </c>
      <c r="C110" s="1" t="str">
        <f>"林奕翔"</f>
        <v>林奕翔</v>
      </c>
      <c r="Q110" s="1">
        <v>0</v>
      </c>
    </row>
    <row r="111" spans="1:17" x14ac:dyDescent="0.25">
      <c r="A111" s="1" t="str">
        <f t="shared" si="3"/>
        <v>水產養殖學系</v>
      </c>
      <c r="B111" s="1" t="str">
        <f>"01333128"</f>
        <v>01333128</v>
      </c>
      <c r="C111" s="1" t="str">
        <f>"邱新翔"</f>
        <v>邱新翔</v>
      </c>
      <c r="Q111" s="1">
        <v>0</v>
      </c>
    </row>
    <row r="112" spans="1:17" x14ac:dyDescent="0.25">
      <c r="A112" s="1" t="str">
        <f t="shared" si="3"/>
        <v>水產養殖學系</v>
      </c>
      <c r="B112" s="1" t="str">
        <f>"01333129"</f>
        <v>01333129</v>
      </c>
      <c r="C112" s="1" t="str">
        <f>"戴壬偉"</f>
        <v>戴壬偉</v>
      </c>
      <c r="Q112" s="1">
        <v>0</v>
      </c>
    </row>
    <row r="113" spans="1:17" x14ac:dyDescent="0.25">
      <c r="A113" s="1" t="str">
        <f t="shared" si="3"/>
        <v>水產養殖學系</v>
      </c>
      <c r="B113" s="1" t="str">
        <f>"01333130"</f>
        <v>01333130</v>
      </c>
      <c r="C113" s="1" t="str">
        <f>"郭韋彤"</f>
        <v>郭韋彤</v>
      </c>
      <c r="Q113" s="1">
        <v>0</v>
      </c>
    </row>
    <row r="114" spans="1:17" x14ac:dyDescent="0.25">
      <c r="A114" s="1" t="str">
        <f t="shared" si="3"/>
        <v>水產養殖學系</v>
      </c>
      <c r="B114" s="1" t="str">
        <f>"01333131"</f>
        <v>01333131</v>
      </c>
      <c r="C114" s="1" t="str">
        <f>"陳亦勛"</f>
        <v>陳亦勛</v>
      </c>
      <c r="Q114" s="1">
        <v>0</v>
      </c>
    </row>
    <row r="115" spans="1:17" x14ac:dyDescent="0.25">
      <c r="A115" s="1" t="str">
        <f t="shared" si="3"/>
        <v>水產養殖學系</v>
      </c>
      <c r="B115" s="1" t="str">
        <f>"01333132"</f>
        <v>01333132</v>
      </c>
      <c r="C115" s="1" t="str">
        <f>"黃偲堯"</f>
        <v>黃偲堯</v>
      </c>
      <c r="Q115" s="1">
        <v>0</v>
      </c>
    </row>
    <row r="116" spans="1:17" x14ac:dyDescent="0.25">
      <c r="A116" s="1" t="str">
        <f t="shared" si="3"/>
        <v>水產養殖學系</v>
      </c>
      <c r="B116" s="1" t="str">
        <f>"01333133"</f>
        <v>01333133</v>
      </c>
      <c r="C116" s="1" t="str">
        <f>"楊弘益"</f>
        <v>楊弘益</v>
      </c>
      <c r="Q116" s="1">
        <v>0</v>
      </c>
    </row>
    <row r="117" spans="1:17" x14ac:dyDescent="0.25">
      <c r="A117" s="1" t="str">
        <f t="shared" si="3"/>
        <v>水產養殖學系</v>
      </c>
      <c r="B117" s="1" t="str">
        <f>"01333134"</f>
        <v>01333134</v>
      </c>
      <c r="C117" s="1" t="str">
        <f>"楊鈞凱"</f>
        <v>楊鈞凱</v>
      </c>
      <c r="Q117" s="1">
        <v>0</v>
      </c>
    </row>
    <row r="118" spans="1:17" x14ac:dyDescent="0.25">
      <c r="A118" s="1" t="str">
        <f t="shared" si="3"/>
        <v>水產養殖學系</v>
      </c>
      <c r="B118" s="1" t="str">
        <f>"01333135"</f>
        <v>01333135</v>
      </c>
      <c r="C118" s="1" t="str">
        <f>"邱品期"</f>
        <v>邱品期</v>
      </c>
      <c r="Q118" s="1">
        <v>0</v>
      </c>
    </row>
    <row r="119" spans="1:17" x14ac:dyDescent="0.25">
      <c r="A119" s="1" t="str">
        <f t="shared" si="3"/>
        <v>水產養殖學系</v>
      </c>
      <c r="B119" s="1" t="str">
        <f>"01333136"</f>
        <v>01333136</v>
      </c>
      <c r="C119" s="1" t="str">
        <f>"黃鼎宇"</f>
        <v>黃鼎宇</v>
      </c>
      <c r="Q119" s="1">
        <v>0</v>
      </c>
    </row>
    <row r="120" spans="1:17" x14ac:dyDescent="0.25">
      <c r="A120" s="1" t="str">
        <f t="shared" si="3"/>
        <v>水產養殖學系</v>
      </c>
      <c r="B120" s="1" t="str">
        <f>"01333137"</f>
        <v>01333137</v>
      </c>
      <c r="C120" s="1" t="str">
        <f>"胡祐銘"</f>
        <v>胡祐銘</v>
      </c>
      <c r="Q120" s="1">
        <v>0</v>
      </c>
    </row>
    <row r="121" spans="1:17" x14ac:dyDescent="0.25">
      <c r="A121" s="1" t="str">
        <f t="shared" si="3"/>
        <v>水產養殖學系</v>
      </c>
      <c r="B121" s="1" t="str">
        <f>"01333139"</f>
        <v>01333139</v>
      </c>
      <c r="C121" s="1" t="str">
        <f>"黃俊嘉"</f>
        <v>黃俊嘉</v>
      </c>
      <c r="Q121" s="1">
        <v>0</v>
      </c>
    </row>
    <row r="122" spans="1:17" x14ac:dyDescent="0.25">
      <c r="A122" s="1" t="str">
        <f t="shared" si="3"/>
        <v>水產養殖學系</v>
      </c>
      <c r="B122" s="1" t="str">
        <f>"01333142"</f>
        <v>01333142</v>
      </c>
      <c r="C122" s="1" t="str">
        <f>"吳育博"</f>
        <v>吳育博</v>
      </c>
      <c r="Q122" s="1">
        <v>0</v>
      </c>
    </row>
    <row r="123" spans="1:17" x14ac:dyDescent="0.25">
      <c r="A123" s="1" t="str">
        <f t="shared" si="3"/>
        <v>水產養殖學系</v>
      </c>
      <c r="B123" s="1" t="str">
        <f>"01333144"</f>
        <v>01333144</v>
      </c>
      <c r="C123" s="1" t="str">
        <f>"蔡宜君"</f>
        <v>蔡宜君</v>
      </c>
      <c r="N123" s="1" t="s">
        <v>17</v>
      </c>
      <c r="Q123" s="1">
        <v>1</v>
      </c>
    </row>
    <row r="124" spans="1:17" x14ac:dyDescent="0.25">
      <c r="A124" s="1" t="str">
        <f t="shared" si="3"/>
        <v>水產養殖學系</v>
      </c>
      <c r="B124" s="1" t="str">
        <f>"01333145"</f>
        <v>01333145</v>
      </c>
      <c r="C124" s="1" t="str">
        <f>"周文贏"</f>
        <v>周文贏</v>
      </c>
      <c r="Q124" s="1">
        <v>0</v>
      </c>
    </row>
    <row r="125" spans="1:17" x14ac:dyDescent="0.25">
      <c r="A125" s="1" t="str">
        <f t="shared" si="3"/>
        <v>水產養殖學系</v>
      </c>
      <c r="B125" s="1" t="str">
        <f>"01333146"</f>
        <v>01333146</v>
      </c>
      <c r="C125" s="1" t="str">
        <f>"王啟剛"</f>
        <v>王啟剛</v>
      </c>
      <c r="Q125" s="1">
        <v>0</v>
      </c>
    </row>
    <row r="126" spans="1:17" x14ac:dyDescent="0.25">
      <c r="A126" s="1" t="str">
        <f t="shared" si="3"/>
        <v>水產養殖學系</v>
      </c>
      <c r="B126" s="1" t="str">
        <f>"01333147"</f>
        <v>01333147</v>
      </c>
      <c r="C126" s="1" t="str">
        <f>"歐陽昭仁"</f>
        <v>歐陽昭仁</v>
      </c>
      <c r="M126" s="1" t="s">
        <v>17</v>
      </c>
      <c r="Q126" s="1">
        <v>1</v>
      </c>
    </row>
    <row r="127" spans="1:17" x14ac:dyDescent="0.25">
      <c r="A127" s="1" t="str">
        <f t="shared" si="3"/>
        <v>水產養殖學系</v>
      </c>
      <c r="B127" s="1" t="str">
        <f>"01333148"</f>
        <v>01333148</v>
      </c>
      <c r="C127" s="1" t="str">
        <f>"徐維駿"</f>
        <v>徐維駿</v>
      </c>
      <c r="D127" s="1" t="s">
        <v>17</v>
      </c>
      <c r="G127" s="1" t="s">
        <v>17</v>
      </c>
      <c r="H127" s="1" t="s">
        <v>17</v>
      </c>
      <c r="K127" s="1" t="s">
        <v>17</v>
      </c>
      <c r="M127" s="1" t="s">
        <v>17</v>
      </c>
      <c r="N127" s="1" t="s">
        <v>17</v>
      </c>
      <c r="P127" s="1" t="s">
        <v>17</v>
      </c>
      <c r="Q127" s="1">
        <v>7</v>
      </c>
    </row>
    <row r="128" spans="1:17" x14ac:dyDescent="0.25">
      <c r="A128" s="1" t="str">
        <f t="shared" si="3"/>
        <v>水產養殖學系</v>
      </c>
      <c r="B128" s="1" t="str">
        <f>"01333149"</f>
        <v>01333149</v>
      </c>
      <c r="C128" s="1" t="str">
        <f>"張昱祥"</f>
        <v>張昱祥</v>
      </c>
      <c r="D128" s="1" t="s">
        <v>17</v>
      </c>
      <c r="M128" s="1" t="s">
        <v>17</v>
      </c>
      <c r="N128" s="1" t="s">
        <v>17</v>
      </c>
      <c r="P128" s="1" t="s">
        <v>17</v>
      </c>
      <c r="Q128" s="1">
        <v>4</v>
      </c>
    </row>
    <row r="129" spans="1:17" x14ac:dyDescent="0.25">
      <c r="A129" s="1" t="str">
        <f t="shared" si="3"/>
        <v>水產養殖學系</v>
      </c>
      <c r="B129" s="1" t="str">
        <f>"01333150"</f>
        <v>01333150</v>
      </c>
      <c r="C129" s="1" t="str">
        <f>"黃世杰"</f>
        <v>黃世杰</v>
      </c>
      <c r="D129" s="1" t="s">
        <v>17</v>
      </c>
      <c r="G129" s="1" t="s">
        <v>17</v>
      </c>
      <c r="I129" s="1" t="s">
        <v>17</v>
      </c>
      <c r="N129" s="1" t="s">
        <v>17</v>
      </c>
      <c r="P129" s="1" t="s">
        <v>17</v>
      </c>
      <c r="Q129" s="1">
        <v>5</v>
      </c>
    </row>
    <row r="130" spans="1:17" x14ac:dyDescent="0.25">
      <c r="A130" s="1" t="str">
        <f t="shared" si="3"/>
        <v>水產養殖學系</v>
      </c>
      <c r="B130" s="1" t="str">
        <f>"01333151"</f>
        <v>01333151</v>
      </c>
      <c r="C130" s="1" t="str">
        <f>"黃貴贊"</f>
        <v>黃貴贊</v>
      </c>
      <c r="Q130" s="1">
        <v>0</v>
      </c>
    </row>
    <row r="131" spans="1:17" x14ac:dyDescent="0.25">
      <c r="A131" s="1" t="str">
        <f t="shared" si="3"/>
        <v>水產養殖學系</v>
      </c>
      <c r="B131" s="1" t="str">
        <f>"01333152"</f>
        <v>01333152</v>
      </c>
      <c r="C131" s="1" t="str">
        <f>"饒竣傑"</f>
        <v>饒竣傑</v>
      </c>
      <c r="Q131" s="1">
        <v>0</v>
      </c>
    </row>
    <row r="132" spans="1:17" x14ac:dyDescent="0.25">
      <c r="A132" s="1" t="str">
        <f t="shared" si="3"/>
        <v>水產養殖學系</v>
      </c>
      <c r="B132" s="1" t="str">
        <f>"01333301"</f>
        <v>01333301</v>
      </c>
      <c r="C132" s="1" t="str">
        <f>"賴怡辰"</f>
        <v>賴怡辰</v>
      </c>
      <c r="E132" s="1" t="s">
        <v>17</v>
      </c>
      <c r="H132" s="1" t="s">
        <v>17</v>
      </c>
      <c r="K132" s="1" t="s">
        <v>17</v>
      </c>
      <c r="N132" s="1" t="s">
        <v>17</v>
      </c>
      <c r="Q132" s="1">
        <v>4</v>
      </c>
    </row>
    <row r="133" spans="1:17" x14ac:dyDescent="0.25">
      <c r="A133" s="1" t="str">
        <f t="shared" si="3"/>
        <v>水產養殖學系</v>
      </c>
      <c r="B133" s="1" t="str">
        <f>"01333302"</f>
        <v>01333302</v>
      </c>
      <c r="C133" s="1" t="str">
        <f>"蘇煥莉"</f>
        <v>蘇煥莉</v>
      </c>
      <c r="Q133" s="1">
        <v>0</v>
      </c>
    </row>
    <row r="134" spans="1:17" x14ac:dyDescent="0.25">
      <c r="A134" s="1" t="str">
        <f t="shared" si="3"/>
        <v>水產養殖學系</v>
      </c>
      <c r="B134" s="7" t="s">
        <v>20</v>
      </c>
      <c r="C134" s="6" t="s">
        <v>19</v>
      </c>
      <c r="I134" s="1" t="s">
        <v>17</v>
      </c>
      <c r="J134" s="1" t="s">
        <v>17</v>
      </c>
      <c r="M134" s="1" t="s">
        <v>17</v>
      </c>
      <c r="P134" s="1" t="s">
        <v>17</v>
      </c>
      <c r="Q134" s="1">
        <v>4</v>
      </c>
    </row>
    <row r="135" spans="1:17" x14ac:dyDescent="0.25">
      <c r="Q135" s="1">
        <v>0</v>
      </c>
    </row>
    <row r="142" spans="1:17" x14ac:dyDescent="0.25">
      <c r="A142" s="2" t="s">
        <v>0</v>
      </c>
      <c r="B142" s="2" t="s">
        <v>1</v>
      </c>
      <c r="C142" s="2" t="s">
        <v>2</v>
      </c>
      <c r="D142" s="3" t="s">
        <v>4</v>
      </c>
      <c r="E142" s="3" t="s">
        <v>5</v>
      </c>
      <c r="F142" s="3" t="s">
        <v>6</v>
      </c>
      <c r="G142" s="3" t="s">
        <v>7</v>
      </c>
      <c r="H142" s="3" t="s">
        <v>8</v>
      </c>
      <c r="I142" s="3" t="s">
        <v>9</v>
      </c>
      <c r="J142" s="3" t="s">
        <v>10</v>
      </c>
      <c r="K142" s="3" t="s">
        <v>11</v>
      </c>
      <c r="L142" s="3" t="s">
        <v>12</v>
      </c>
      <c r="M142" s="3" t="s">
        <v>13</v>
      </c>
      <c r="N142" s="3" t="s">
        <v>14</v>
      </c>
      <c r="O142" s="3" t="s">
        <v>15</v>
      </c>
      <c r="P142" s="3" t="s">
        <v>16</v>
      </c>
      <c r="Q142" s="4" t="s">
        <v>3</v>
      </c>
    </row>
  </sheetData>
  <phoneticPr fontId="1" type="noConversion"/>
  <pageMargins left="0.45866141700000002" right="0.19685039400000001" top="0.74803149606299202" bottom="0.99803149599999996" header="0.31496062992126" footer="0.31496062992126"/>
  <pageSetup paperSize="9" orientation="portrait" r:id="rId1"/>
  <headerFooter>
    <oddHeader>&amp;C1132化學補強教學出席率登記本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3"/>
  <sheetViews>
    <sheetView view="pageLayout" topLeftCell="A136" zoomScale="161" zoomScaleNormal="66" zoomScalePageLayoutView="161" workbookViewId="0">
      <selection activeCell="Q143" sqref="Q143"/>
    </sheetView>
  </sheetViews>
  <sheetFormatPr defaultColWidth="9" defaultRowHeight="16.5" x14ac:dyDescent="0.25"/>
  <cols>
    <col min="1" max="1" width="6.125" style="1" customWidth="1"/>
    <col min="2" max="2" width="8.625" style="1" customWidth="1"/>
    <col min="3" max="3" width="8" style="1" customWidth="1"/>
    <col min="4" max="17" width="4.625" style="1" customWidth="1"/>
    <col min="18" max="16384" width="9" style="1"/>
  </cols>
  <sheetData>
    <row r="2" spans="1:17" x14ac:dyDescent="0.25">
      <c r="A2" s="2" t="s">
        <v>0</v>
      </c>
      <c r="B2" s="2" t="s">
        <v>1</v>
      </c>
      <c r="C2" s="2" t="s">
        <v>2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3</v>
      </c>
    </row>
    <row r="3" spans="1:17" x14ac:dyDescent="0.25">
      <c r="A3" s="1" t="str">
        <f>"水產養殖學系"</f>
        <v>水產養殖學系</v>
      </c>
      <c r="B3" s="1" t="str">
        <f>"00933124"</f>
        <v>00933124</v>
      </c>
      <c r="C3" s="1" t="str">
        <f>"孫世瑋"</f>
        <v>孫世瑋</v>
      </c>
      <c r="Q3" s="1">
        <v>0</v>
      </c>
    </row>
    <row r="4" spans="1:17" x14ac:dyDescent="0.25">
      <c r="A4" s="1" t="str">
        <f>"水產養殖學系"</f>
        <v>水產養殖學系</v>
      </c>
      <c r="B4" s="1" t="str">
        <f>"00933148"</f>
        <v>00933148</v>
      </c>
      <c r="C4" s="1" t="str">
        <f>"何文龍"</f>
        <v>何文龍</v>
      </c>
      <c r="Q4" s="1">
        <v>0</v>
      </c>
    </row>
    <row r="5" spans="1:17" x14ac:dyDescent="0.25">
      <c r="A5" s="1" t="str">
        <f>"水產養殖學系"</f>
        <v>水產養殖學系</v>
      </c>
      <c r="B5" s="1" t="str">
        <f>"01033011"</f>
        <v>01033011</v>
      </c>
      <c r="C5" s="1" t="str">
        <f>"楊皓崴"</f>
        <v>楊皓崴</v>
      </c>
      <c r="Q5" s="1">
        <v>0</v>
      </c>
    </row>
    <row r="6" spans="1:17" x14ac:dyDescent="0.25">
      <c r="A6" s="1" t="str">
        <f>"水產養殖學系"</f>
        <v>水產養殖學系</v>
      </c>
      <c r="B6" s="1" t="str">
        <f>"01033201"</f>
        <v>01033201</v>
      </c>
      <c r="C6" s="1" t="str">
        <f>"何桐宇"</f>
        <v>何桐宇</v>
      </c>
      <c r="Q6" s="1">
        <v>0</v>
      </c>
    </row>
    <row r="7" spans="1:17" x14ac:dyDescent="0.25">
      <c r="A7" s="1" t="str">
        <f t="shared" ref="A7:A16" si="0">"食品科學系"</f>
        <v>食品科學系</v>
      </c>
      <c r="B7" s="1" t="str">
        <f>"01132004"</f>
        <v>01132004</v>
      </c>
      <c r="C7" s="1" t="str">
        <f>"黃鈺雯"</f>
        <v>黃鈺雯</v>
      </c>
      <c r="Q7" s="1">
        <v>0</v>
      </c>
    </row>
    <row r="8" spans="1:17" x14ac:dyDescent="0.25">
      <c r="A8" s="1" t="str">
        <f t="shared" si="0"/>
        <v>食品科學系</v>
      </c>
      <c r="B8" s="1" t="str">
        <f>"01132015"</f>
        <v>01132015</v>
      </c>
      <c r="C8" s="1" t="str">
        <f>"許文馨"</f>
        <v>許文馨</v>
      </c>
      <c r="O8" s="1" t="s">
        <v>17</v>
      </c>
      <c r="Q8" s="1">
        <v>1</v>
      </c>
    </row>
    <row r="9" spans="1:17" x14ac:dyDescent="0.25">
      <c r="A9" s="1" t="str">
        <f t="shared" si="0"/>
        <v>食品科學系</v>
      </c>
      <c r="B9" s="1" t="str">
        <f>"01132020"</f>
        <v>01132020</v>
      </c>
      <c r="C9" s="1" t="str">
        <f>"邱婉榛"</f>
        <v>邱婉榛</v>
      </c>
      <c r="E9" s="1" t="s">
        <v>17</v>
      </c>
      <c r="H9" s="1" t="s">
        <v>17</v>
      </c>
      <c r="K9" s="1" t="s">
        <v>17</v>
      </c>
      <c r="N9" s="1" t="s">
        <v>17</v>
      </c>
      <c r="Q9" s="1">
        <v>4</v>
      </c>
    </row>
    <row r="10" spans="1:17" x14ac:dyDescent="0.25">
      <c r="A10" s="1" t="str">
        <f t="shared" si="0"/>
        <v>食品科學系</v>
      </c>
      <c r="B10" s="1" t="str">
        <f>"01132024"</f>
        <v>01132024</v>
      </c>
      <c r="C10" s="1" t="str">
        <f>"?羿蓁"</f>
        <v>?羿蓁</v>
      </c>
      <c r="E10" s="1" t="s">
        <v>17</v>
      </c>
      <c r="K10" s="1" t="s">
        <v>17</v>
      </c>
      <c r="N10" s="1" t="s">
        <v>17</v>
      </c>
      <c r="Q10" s="1">
        <v>3</v>
      </c>
    </row>
    <row r="11" spans="1:17" x14ac:dyDescent="0.25">
      <c r="A11" s="1" t="str">
        <f t="shared" si="0"/>
        <v>食品科學系</v>
      </c>
      <c r="B11" s="1" t="str">
        <f>"01132031"</f>
        <v>01132031</v>
      </c>
      <c r="C11" s="1" t="str">
        <f>"高?"</f>
        <v>高?</v>
      </c>
      <c r="E11" s="1" t="s">
        <v>17</v>
      </c>
      <c r="K11" s="1" t="s">
        <v>17</v>
      </c>
      <c r="N11" s="1" t="s">
        <v>17</v>
      </c>
      <c r="Q11" s="1">
        <v>3</v>
      </c>
    </row>
    <row r="12" spans="1:17" x14ac:dyDescent="0.25">
      <c r="A12" s="1" t="str">
        <f t="shared" si="0"/>
        <v>食品科學系</v>
      </c>
      <c r="B12" s="1" t="str">
        <f>"01132032"</f>
        <v>01132032</v>
      </c>
      <c r="C12" s="1" t="str">
        <f>"洪家興"</f>
        <v>洪家興</v>
      </c>
      <c r="Q12" s="1">
        <v>0</v>
      </c>
    </row>
    <row r="13" spans="1:17" x14ac:dyDescent="0.25">
      <c r="A13" s="1" t="str">
        <f t="shared" si="0"/>
        <v>食品科學系</v>
      </c>
      <c r="B13" s="1" t="str">
        <f>"01132047"</f>
        <v>01132047</v>
      </c>
      <c r="C13" s="1" t="str">
        <f>"翁玲玲"</f>
        <v>翁玲玲</v>
      </c>
      <c r="Q13" s="1">
        <v>0</v>
      </c>
    </row>
    <row r="14" spans="1:17" x14ac:dyDescent="0.25">
      <c r="A14" s="1" t="str">
        <f t="shared" si="0"/>
        <v>食品科學系</v>
      </c>
      <c r="B14" s="1" t="str">
        <f>"01132051"</f>
        <v>01132051</v>
      </c>
      <c r="C14" s="1" t="str">
        <f>"黃治森"</f>
        <v>黃治森</v>
      </c>
      <c r="Q14" s="1">
        <v>0</v>
      </c>
    </row>
    <row r="15" spans="1:17" x14ac:dyDescent="0.25">
      <c r="A15" s="1" t="str">
        <f t="shared" si="0"/>
        <v>食品科學系</v>
      </c>
      <c r="B15" s="1" t="str">
        <f>"01132138"</f>
        <v>01132138</v>
      </c>
      <c r="C15" s="1" t="str">
        <f>"李堂浩"</f>
        <v>李堂浩</v>
      </c>
      <c r="Q15" s="1">
        <v>0</v>
      </c>
    </row>
    <row r="16" spans="1:17" x14ac:dyDescent="0.25">
      <c r="A16" s="1" t="str">
        <f t="shared" si="0"/>
        <v>食品科學系</v>
      </c>
      <c r="B16" s="1" t="str">
        <f>"01132152"</f>
        <v>01132152</v>
      </c>
      <c r="C16" s="1" t="str">
        <f>"李蕎伶"</f>
        <v>李蕎伶</v>
      </c>
      <c r="Q16" s="1">
        <v>0</v>
      </c>
    </row>
    <row r="17" spans="1:17" x14ac:dyDescent="0.25">
      <c r="A17" s="1" t="str">
        <f>"水產養殖學系"</f>
        <v>水產養殖學系</v>
      </c>
      <c r="B17" s="1" t="str">
        <f>"01133038"</f>
        <v>01133038</v>
      </c>
      <c r="C17" s="1" t="str">
        <f>"謝凱彬"</f>
        <v>謝凱彬</v>
      </c>
      <c r="Q17" s="1">
        <v>0</v>
      </c>
    </row>
    <row r="18" spans="1:17" x14ac:dyDescent="0.25">
      <c r="A18" s="1" t="str">
        <f>"水產養殖學系"</f>
        <v>水產養殖學系</v>
      </c>
      <c r="B18" s="1" t="str">
        <f>"01133130"</f>
        <v>01133130</v>
      </c>
      <c r="C18" s="1" t="str">
        <f>"黃育霖"</f>
        <v>黃育霖</v>
      </c>
      <c r="Q18" s="1">
        <v>0</v>
      </c>
    </row>
    <row r="19" spans="1:17" x14ac:dyDescent="0.25">
      <c r="A19" s="1" t="str">
        <f>"水產養殖學系"</f>
        <v>水產養殖學系</v>
      </c>
      <c r="B19" s="1" t="str">
        <f>"01133138"</f>
        <v>01133138</v>
      </c>
      <c r="C19" s="1" t="str">
        <f>"葉伯謙"</f>
        <v>葉伯謙</v>
      </c>
      <c r="Q19" s="1">
        <v>0</v>
      </c>
    </row>
    <row r="20" spans="1:17" x14ac:dyDescent="0.25">
      <c r="A20" s="1" t="str">
        <f>"海洋生物科技學士學位學程"</f>
        <v>海洋生物科技學士學位學程</v>
      </c>
      <c r="B20" s="1" t="str">
        <f>"01138006"</f>
        <v>01138006</v>
      </c>
      <c r="C20" s="1" t="str">
        <f>"李坤龍"</f>
        <v>李坤龍</v>
      </c>
      <c r="Q20" s="1">
        <v>0</v>
      </c>
    </row>
    <row r="21" spans="1:17" x14ac:dyDescent="0.25">
      <c r="A21" s="1" t="str">
        <f>"海洋生物科技學士學位學程"</f>
        <v>海洋生物科技學士學位學程</v>
      </c>
      <c r="B21" s="1" t="str">
        <f>"01138019"</f>
        <v>01138019</v>
      </c>
      <c r="C21" s="1" t="str">
        <f>"李冠萱"</f>
        <v>李冠萱</v>
      </c>
      <c r="Q21" s="1">
        <v>0</v>
      </c>
    </row>
    <row r="22" spans="1:17" x14ac:dyDescent="0.25">
      <c r="A22" s="1" t="str">
        <f>"海洋生物科技學士學位學程"</f>
        <v>海洋生物科技學士學位學程</v>
      </c>
      <c r="B22" s="1" t="str">
        <f>"01138026"</f>
        <v>01138026</v>
      </c>
      <c r="C22" s="1" t="str">
        <f>"張駒恆"</f>
        <v>張駒恆</v>
      </c>
      <c r="Q22" s="1">
        <v>0</v>
      </c>
    </row>
    <row r="23" spans="1:17" x14ac:dyDescent="0.25">
      <c r="A23" s="1" t="str">
        <f>"生命科學暨生物科技學系"</f>
        <v>生命科學暨生物科技學系</v>
      </c>
      <c r="B23" s="1" t="str">
        <f>"0113B021"</f>
        <v>0113B021</v>
      </c>
      <c r="C23" s="1" t="str">
        <f>"陳世翊"</f>
        <v>陳世翊</v>
      </c>
      <c r="Q23" s="1">
        <v>0</v>
      </c>
    </row>
    <row r="24" spans="1:17" x14ac:dyDescent="0.25">
      <c r="A24" s="1" t="str">
        <f>"生命科學暨生物科技學系"</f>
        <v>生命科學暨生物科技學系</v>
      </c>
      <c r="B24" s="1" t="str">
        <f>"0113B029"</f>
        <v>0113B029</v>
      </c>
      <c r="C24" s="1" t="str">
        <f>"黃詩涵"</f>
        <v>黃詩涵</v>
      </c>
      <c r="Q24" s="1">
        <v>0</v>
      </c>
    </row>
    <row r="25" spans="1:17" x14ac:dyDescent="0.25">
      <c r="A25" s="1" t="str">
        <f t="shared" ref="A25:A30" si="1">"環境生物與漁業科學學系"</f>
        <v>環境生物與漁業科學學系</v>
      </c>
      <c r="B25" s="1" t="str">
        <f>"01231008"</f>
        <v>01231008</v>
      </c>
      <c r="C25" s="1" t="str">
        <f>"黃家路"</f>
        <v>黃家路</v>
      </c>
      <c r="Q25" s="1">
        <v>0</v>
      </c>
    </row>
    <row r="26" spans="1:17" x14ac:dyDescent="0.25">
      <c r="A26" s="1" t="str">
        <f t="shared" si="1"/>
        <v>環境生物與漁業科學學系</v>
      </c>
      <c r="B26" s="1" t="str">
        <f>"01231024"</f>
        <v>01231024</v>
      </c>
      <c r="C26" s="1" t="str">
        <f>"何瑋珊"</f>
        <v>何瑋珊</v>
      </c>
      <c r="Q26" s="1">
        <v>0</v>
      </c>
    </row>
    <row r="27" spans="1:17" x14ac:dyDescent="0.25">
      <c r="A27" s="1" t="str">
        <f t="shared" si="1"/>
        <v>環境生物與漁業科學學系</v>
      </c>
      <c r="B27" s="1" t="str">
        <f>"01231042"</f>
        <v>01231042</v>
      </c>
      <c r="C27" s="1" t="str">
        <f>"蔡佳琪"</f>
        <v>蔡佳琪</v>
      </c>
      <c r="Q27" s="1">
        <v>0</v>
      </c>
    </row>
    <row r="28" spans="1:17" x14ac:dyDescent="0.25">
      <c r="A28" s="1" t="str">
        <f t="shared" si="1"/>
        <v>環境生物與漁業科學學系</v>
      </c>
      <c r="B28" s="1" t="str">
        <f>"01231044"</f>
        <v>01231044</v>
      </c>
      <c r="C28" s="1" t="str">
        <f>"陳訢瑜"</f>
        <v>陳訢瑜</v>
      </c>
      <c r="Q28" s="1">
        <v>0</v>
      </c>
    </row>
    <row r="29" spans="1:17" x14ac:dyDescent="0.25">
      <c r="A29" s="1" t="str">
        <f t="shared" si="1"/>
        <v>環境生物與漁業科學學系</v>
      </c>
      <c r="B29" s="1" t="str">
        <f>"01231053"</f>
        <v>01231053</v>
      </c>
      <c r="C29" s="1" t="str">
        <f>"郭梓童"</f>
        <v>郭梓童</v>
      </c>
      <c r="Q29" s="1">
        <v>0</v>
      </c>
    </row>
    <row r="30" spans="1:17" x14ac:dyDescent="0.25">
      <c r="A30" s="1" t="str">
        <f t="shared" si="1"/>
        <v>環境生物與漁業科學學系</v>
      </c>
      <c r="B30" s="1" t="str">
        <f>"01231055"</f>
        <v>01231055</v>
      </c>
      <c r="C30" s="1" t="str">
        <f>"陳筠媃"</f>
        <v>陳筠媃</v>
      </c>
      <c r="Q30" s="1">
        <v>0</v>
      </c>
    </row>
    <row r="31" spans="1:17" x14ac:dyDescent="0.25">
      <c r="A31" s="1" t="str">
        <f>"食品科學系"</f>
        <v>食品科學系</v>
      </c>
      <c r="B31" s="1" t="str">
        <f>"01232062"</f>
        <v>01232062</v>
      </c>
      <c r="C31" s="1" t="str">
        <f>"劉昱婷"</f>
        <v>劉昱婷</v>
      </c>
      <c r="D31" s="1" t="s">
        <v>17</v>
      </c>
      <c r="G31" s="1" t="s">
        <v>17</v>
      </c>
      <c r="J31" s="1" t="s">
        <v>17</v>
      </c>
      <c r="M31" s="1" t="s">
        <v>17</v>
      </c>
      <c r="P31" s="1" t="s">
        <v>17</v>
      </c>
      <c r="Q31" s="1">
        <v>5</v>
      </c>
    </row>
    <row r="32" spans="1:17" x14ac:dyDescent="0.25">
      <c r="A32" s="1" t="str">
        <f>"食品科學系"</f>
        <v>食品科學系</v>
      </c>
      <c r="B32" s="1" t="str">
        <f>"01232155"</f>
        <v>01232155</v>
      </c>
      <c r="C32" s="1" t="str">
        <f>"羅寧"</f>
        <v>羅寧</v>
      </c>
      <c r="Q32" s="1">
        <v>0</v>
      </c>
    </row>
    <row r="33" spans="1:17" x14ac:dyDescent="0.25">
      <c r="A33" s="1" t="str">
        <f>"食品科學系"</f>
        <v>食品科學系</v>
      </c>
      <c r="B33" s="1" t="str">
        <f>"01232202"</f>
        <v>01232202</v>
      </c>
      <c r="C33" s="1" t="str">
        <f>"陳瑾藜"</f>
        <v>陳瑾藜</v>
      </c>
      <c r="E33" s="1" t="s">
        <v>17</v>
      </c>
      <c r="H33" s="1" t="s">
        <v>17</v>
      </c>
      <c r="K33" s="1" t="s">
        <v>17</v>
      </c>
      <c r="Q33" s="1">
        <v>3</v>
      </c>
    </row>
    <row r="34" spans="1:17" x14ac:dyDescent="0.25">
      <c r="A34" s="1" t="str">
        <f>"水產養殖學系"</f>
        <v>水產養殖學系</v>
      </c>
      <c r="B34" s="1" t="str">
        <f>"01233031"</f>
        <v>01233031</v>
      </c>
      <c r="C34" s="1" t="str">
        <f>"王學謙"</f>
        <v>王學謙</v>
      </c>
      <c r="Q34" s="1">
        <v>0</v>
      </c>
    </row>
    <row r="35" spans="1:17" x14ac:dyDescent="0.25">
      <c r="A35" s="1" t="str">
        <f>"水產養殖學系"</f>
        <v>水產養殖學系</v>
      </c>
      <c r="B35" s="1" t="str">
        <f>"01233036"</f>
        <v>01233036</v>
      </c>
      <c r="C35" s="1" t="str">
        <f>"楊元晞"</f>
        <v>楊元晞</v>
      </c>
      <c r="Q35" s="1">
        <v>0</v>
      </c>
    </row>
    <row r="36" spans="1:17" x14ac:dyDescent="0.25">
      <c r="A36" s="1" t="str">
        <f>"水產養殖學系"</f>
        <v>水產養殖學系</v>
      </c>
      <c r="B36" s="1" t="str">
        <f>"01233141"</f>
        <v>01233141</v>
      </c>
      <c r="C36" s="1" t="str">
        <f>"龔婧文"</f>
        <v>龔婧文</v>
      </c>
      <c r="Q36" s="1">
        <v>0</v>
      </c>
    </row>
    <row r="37" spans="1:17" x14ac:dyDescent="0.25">
      <c r="A37" s="1" t="str">
        <f>"生命科學暨生物科技學系"</f>
        <v>生命科學暨生物科技學系</v>
      </c>
      <c r="B37" s="1" t="str">
        <f>"0123B202"</f>
        <v>0123B202</v>
      </c>
      <c r="C37" s="1" t="str">
        <f>"周晏蓁"</f>
        <v>周晏蓁</v>
      </c>
      <c r="Q37" s="1">
        <v>0</v>
      </c>
    </row>
    <row r="38" spans="1:17" x14ac:dyDescent="0.25">
      <c r="A38" s="1" t="str">
        <f t="shared" ref="A38:A47" si="2">"食品科學系"</f>
        <v>食品科學系</v>
      </c>
      <c r="B38" s="1" t="str">
        <f>"01332001"</f>
        <v>01332001</v>
      </c>
      <c r="C38" s="1" t="str">
        <f>"林靖芳"</f>
        <v>林靖芳</v>
      </c>
      <c r="Q38" s="1">
        <v>0</v>
      </c>
    </row>
    <row r="39" spans="1:17" x14ac:dyDescent="0.25">
      <c r="A39" s="1" t="str">
        <f t="shared" si="2"/>
        <v>食品科學系</v>
      </c>
      <c r="B39" s="1" t="str">
        <f>"01332002"</f>
        <v>01332002</v>
      </c>
      <c r="C39" s="1" t="str">
        <f>"王弘奇"</f>
        <v>王弘奇</v>
      </c>
      <c r="E39" s="1" t="s">
        <v>17</v>
      </c>
      <c r="Q39" s="1">
        <v>1</v>
      </c>
    </row>
    <row r="40" spans="1:17" x14ac:dyDescent="0.25">
      <c r="A40" s="1" t="str">
        <f t="shared" si="2"/>
        <v>食品科學系</v>
      </c>
      <c r="B40" s="1" t="str">
        <f>"01332003"</f>
        <v>01332003</v>
      </c>
      <c r="C40" s="1" t="str">
        <f>"林芷姍"</f>
        <v>林芷姍</v>
      </c>
      <c r="Q40" s="1">
        <v>0</v>
      </c>
    </row>
    <row r="41" spans="1:17" x14ac:dyDescent="0.25">
      <c r="A41" s="1" t="str">
        <f t="shared" si="2"/>
        <v>食品科學系</v>
      </c>
      <c r="B41" s="1" t="str">
        <f>"01332004"</f>
        <v>01332004</v>
      </c>
      <c r="C41" s="1" t="str">
        <f>"廖唯庭"</f>
        <v>廖唯庭</v>
      </c>
      <c r="Q41" s="1">
        <v>0</v>
      </c>
    </row>
    <row r="42" spans="1:17" x14ac:dyDescent="0.25">
      <c r="A42" s="1" t="str">
        <f t="shared" si="2"/>
        <v>食品科學系</v>
      </c>
      <c r="B42" s="1" t="str">
        <f>"01332005"</f>
        <v>01332005</v>
      </c>
      <c r="C42" s="1" t="str">
        <f>"國廷堯"</f>
        <v>國廷堯</v>
      </c>
      <c r="Q42" s="1">
        <v>0</v>
      </c>
    </row>
    <row r="43" spans="1:17" x14ac:dyDescent="0.25">
      <c r="A43" s="1" t="str">
        <f t="shared" si="2"/>
        <v>食品科學系</v>
      </c>
      <c r="B43" s="1" t="str">
        <f>"01332006"</f>
        <v>01332006</v>
      </c>
      <c r="C43" s="1" t="str">
        <f>"姚泓愷"</f>
        <v>姚泓愷</v>
      </c>
      <c r="E43" s="1" t="s">
        <v>17</v>
      </c>
      <c r="H43" s="1" t="s">
        <v>17</v>
      </c>
      <c r="M43" s="1" t="s">
        <v>17</v>
      </c>
      <c r="P43" s="1" t="s">
        <v>17</v>
      </c>
      <c r="Q43" s="1">
        <v>4</v>
      </c>
    </row>
    <row r="44" spans="1:17" x14ac:dyDescent="0.25">
      <c r="A44" s="1" t="str">
        <f t="shared" si="2"/>
        <v>食品科學系</v>
      </c>
      <c r="B44" s="1" t="str">
        <f>"01332007"</f>
        <v>01332007</v>
      </c>
      <c r="C44" s="1" t="str">
        <f>"秦祥溢"</f>
        <v>秦祥溢</v>
      </c>
      <c r="E44" s="1" t="s">
        <v>17</v>
      </c>
      <c r="H44" s="1" t="s">
        <v>17</v>
      </c>
      <c r="K44" s="1" t="s">
        <v>17</v>
      </c>
      <c r="N44" s="1" t="s">
        <v>17</v>
      </c>
      <c r="Q44" s="1">
        <v>4</v>
      </c>
    </row>
    <row r="45" spans="1:17" x14ac:dyDescent="0.25">
      <c r="A45" s="1" t="str">
        <f t="shared" si="2"/>
        <v>食品科學系</v>
      </c>
      <c r="B45" s="1" t="str">
        <f>"01332008"</f>
        <v>01332008</v>
      </c>
      <c r="C45" s="1" t="str">
        <f>"鍾佳妤"</f>
        <v>鍾佳妤</v>
      </c>
      <c r="Q45" s="1">
        <v>0</v>
      </c>
    </row>
    <row r="46" spans="1:17" x14ac:dyDescent="0.25">
      <c r="A46" s="1" t="str">
        <f t="shared" si="2"/>
        <v>食品科學系</v>
      </c>
      <c r="B46" s="1" t="str">
        <f>"01332009"</f>
        <v>01332009</v>
      </c>
      <c r="C46" s="1" t="str">
        <f>"許力元"</f>
        <v>許力元</v>
      </c>
      <c r="E46" s="1" t="s">
        <v>17</v>
      </c>
      <c r="H46" s="1" t="s">
        <v>17</v>
      </c>
      <c r="K46" s="1" t="s">
        <v>17</v>
      </c>
      <c r="N46" s="1" t="s">
        <v>17</v>
      </c>
      <c r="Q46" s="1">
        <v>4</v>
      </c>
    </row>
    <row r="47" spans="1:17" x14ac:dyDescent="0.25">
      <c r="A47" s="1" t="str">
        <f t="shared" si="2"/>
        <v>食品科學系</v>
      </c>
      <c r="B47" s="1" t="str">
        <f>"01332010"</f>
        <v>01332010</v>
      </c>
      <c r="C47" s="1" t="str">
        <f>"江恩綺"</f>
        <v>江恩綺</v>
      </c>
      <c r="H47" s="1" t="s">
        <v>17</v>
      </c>
      <c r="K47" s="1" t="s">
        <v>17</v>
      </c>
      <c r="Q47" s="1">
        <v>2</v>
      </c>
    </row>
    <row r="48" spans="1:17" x14ac:dyDescent="0.25">
      <c r="A48" s="2" t="s">
        <v>0</v>
      </c>
      <c r="B48" s="2" t="s">
        <v>1</v>
      </c>
      <c r="C48" s="2" t="s">
        <v>2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3" t="s">
        <v>14</v>
      </c>
      <c r="O48" s="3" t="s">
        <v>15</v>
      </c>
      <c r="P48" s="3" t="s">
        <v>16</v>
      </c>
      <c r="Q48" s="4" t="s">
        <v>3</v>
      </c>
    </row>
    <row r="49" spans="1:17" x14ac:dyDescent="0.25">
      <c r="A49" s="1" t="str">
        <f t="shared" ref="A49:A94" si="3">"食品科學系"</f>
        <v>食品科學系</v>
      </c>
      <c r="B49" s="1" t="str">
        <f>"01332011"</f>
        <v>01332011</v>
      </c>
      <c r="C49" s="1" t="str">
        <f>"黃盺頤"</f>
        <v>黃盺頤</v>
      </c>
      <c r="Q49" s="1">
        <v>0</v>
      </c>
    </row>
    <row r="50" spans="1:17" x14ac:dyDescent="0.25">
      <c r="A50" s="1" t="str">
        <f t="shared" si="3"/>
        <v>食品科學系</v>
      </c>
      <c r="B50" s="1" t="str">
        <f>"01332012"</f>
        <v>01332012</v>
      </c>
      <c r="C50" s="1" t="str">
        <f>"龔宥安"</f>
        <v>龔宥安</v>
      </c>
      <c r="Q50" s="1">
        <v>0</v>
      </c>
    </row>
    <row r="51" spans="1:17" x14ac:dyDescent="0.25">
      <c r="A51" s="1" t="str">
        <f t="shared" si="3"/>
        <v>食品科學系</v>
      </c>
      <c r="B51" s="1" t="str">
        <f>"01332013"</f>
        <v>01332013</v>
      </c>
      <c r="C51" s="1" t="str">
        <f>"李承宥"</f>
        <v>李承宥</v>
      </c>
      <c r="Q51" s="1">
        <v>0</v>
      </c>
    </row>
    <row r="52" spans="1:17" x14ac:dyDescent="0.25">
      <c r="A52" s="1" t="str">
        <f t="shared" si="3"/>
        <v>食品科學系</v>
      </c>
      <c r="B52" s="1" t="str">
        <f>"01332014"</f>
        <v>01332014</v>
      </c>
      <c r="C52" s="1" t="str">
        <f>"戴金寶"</f>
        <v>戴金寶</v>
      </c>
      <c r="Q52" s="1">
        <v>0</v>
      </c>
    </row>
    <row r="53" spans="1:17" x14ac:dyDescent="0.25">
      <c r="A53" s="1" t="str">
        <f t="shared" si="3"/>
        <v>食品科學系</v>
      </c>
      <c r="B53" s="1" t="str">
        <f>"01332015"</f>
        <v>01332015</v>
      </c>
      <c r="C53" s="1" t="str">
        <f>"林芃佑"</f>
        <v>林芃佑</v>
      </c>
      <c r="Q53" s="1">
        <v>0</v>
      </c>
    </row>
    <row r="54" spans="1:17" x14ac:dyDescent="0.25">
      <c r="A54" s="1" t="str">
        <f t="shared" si="3"/>
        <v>食品科學系</v>
      </c>
      <c r="B54" s="1" t="str">
        <f>"01332016"</f>
        <v>01332016</v>
      </c>
      <c r="C54" s="1" t="str">
        <f>"董思宜"</f>
        <v>董思宜</v>
      </c>
      <c r="D54" s="1" t="s">
        <v>17</v>
      </c>
      <c r="H54" s="1" t="s">
        <v>17</v>
      </c>
      <c r="J54" s="1" t="s">
        <v>17</v>
      </c>
      <c r="K54" s="1" t="s">
        <v>17</v>
      </c>
      <c r="M54" s="1" t="s">
        <v>17</v>
      </c>
      <c r="N54" s="1" t="s">
        <v>17</v>
      </c>
      <c r="P54" s="1" t="s">
        <v>17</v>
      </c>
      <c r="Q54" s="1">
        <v>7</v>
      </c>
    </row>
    <row r="55" spans="1:17" x14ac:dyDescent="0.25">
      <c r="A55" s="1" t="str">
        <f t="shared" si="3"/>
        <v>食品科學系</v>
      </c>
      <c r="B55" s="1" t="str">
        <f>"01332017"</f>
        <v>01332017</v>
      </c>
      <c r="C55" s="1" t="str">
        <f>"郭祤辰"</f>
        <v>郭祤辰</v>
      </c>
      <c r="H55" s="1" t="s">
        <v>17</v>
      </c>
      <c r="K55" s="1" t="s">
        <v>17</v>
      </c>
      <c r="N55" s="1" t="s">
        <v>17</v>
      </c>
      <c r="Q55" s="1">
        <v>3</v>
      </c>
    </row>
    <row r="56" spans="1:17" x14ac:dyDescent="0.25">
      <c r="A56" s="1" t="str">
        <f t="shared" si="3"/>
        <v>食品科學系</v>
      </c>
      <c r="B56" s="1" t="str">
        <f>"01332018"</f>
        <v>01332018</v>
      </c>
      <c r="C56" s="1" t="str">
        <f>"陳畇彤"</f>
        <v>陳畇彤</v>
      </c>
      <c r="Q56" s="1">
        <v>0</v>
      </c>
    </row>
    <row r="57" spans="1:17" x14ac:dyDescent="0.25">
      <c r="A57" s="1" t="str">
        <f t="shared" si="3"/>
        <v>食品科學系</v>
      </c>
      <c r="B57" s="1" t="str">
        <f>"01332019"</f>
        <v>01332019</v>
      </c>
      <c r="C57" s="1" t="str">
        <f>"李新啟"</f>
        <v>李新啟</v>
      </c>
      <c r="E57" s="1" t="s">
        <v>17</v>
      </c>
      <c r="Q57" s="1">
        <v>1</v>
      </c>
    </row>
    <row r="58" spans="1:17" x14ac:dyDescent="0.25">
      <c r="A58" s="1" t="str">
        <f t="shared" si="3"/>
        <v>食品科學系</v>
      </c>
      <c r="B58" s="1" t="str">
        <f>"01332020"</f>
        <v>01332020</v>
      </c>
      <c r="C58" s="1" t="str">
        <f>"曾昕翎"</f>
        <v>曾昕翎</v>
      </c>
      <c r="Q58" s="1">
        <v>0</v>
      </c>
    </row>
    <row r="59" spans="1:17" x14ac:dyDescent="0.25">
      <c r="A59" s="1" t="str">
        <f t="shared" si="3"/>
        <v>食品科學系</v>
      </c>
      <c r="B59" s="1" t="str">
        <f>"01332021"</f>
        <v>01332021</v>
      </c>
      <c r="C59" s="1" t="str">
        <f>"楊詠晴"</f>
        <v>楊詠晴</v>
      </c>
      <c r="Q59" s="1">
        <v>0</v>
      </c>
    </row>
    <row r="60" spans="1:17" x14ac:dyDescent="0.25">
      <c r="A60" s="1" t="str">
        <f t="shared" si="3"/>
        <v>食品科學系</v>
      </c>
      <c r="B60" s="1" t="str">
        <f>"01332022"</f>
        <v>01332022</v>
      </c>
      <c r="C60" s="1" t="str">
        <f>"簡聖楷"</f>
        <v>簡聖楷</v>
      </c>
      <c r="E60" s="1" t="s">
        <v>17</v>
      </c>
      <c r="H60" s="1" t="s">
        <v>17</v>
      </c>
      <c r="M60" s="1" t="s">
        <v>17</v>
      </c>
      <c r="P60" s="1" t="s">
        <v>17</v>
      </c>
      <c r="Q60" s="1">
        <v>4</v>
      </c>
    </row>
    <row r="61" spans="1:17" x14ac:dyDescent="0.25">
      <c r="A61" s="1" t="str">
        <f t="shared" si="3"/>
        <v>食品科學系</v>
      </c>
      <c r="B61" s="1" t="str">
        <f>"01332023"</f>
        <v>01332023</v>
      </c>
      <c r="C61" s="1" t="str">
        <f>"孫鳳琳"</f>
        <v>孫鳳琳</v>
      </c>
      <c r="Q61" s="1">
        <v>0</v>
      </c>
    </row>
    <row r="62" spans="1:17" x14ac:dyDescent="0.25">
      <c r="A62" s="1" t="str">
        <f t="shared" si="3"/>
        <v>食品科學系</v>
      </c>
      <c r="B62" s="1" t="str">
        <f>"01332024"</f>
        <v>01332024</v>
      </c>
      <c r="C62" s="1" t="str">
        <f>"廖家伶"</f>
        <v>廖家伶</v>
      </c>
      <c r="E62" s="1" t="s">
        <v>17</v>
      </c>
      <c r="K62" s="1" t="s">
        <v>17</v>
      </c>
      <c r="Q62" s="1">
        <v>2</v>
      </c>
    </row>
    <row r="63" spans="1:17" x14ac:dyDescent="0.25">
      <c r="A63" s="1" t="str">
        <f t="shared" si="3"/>
        <v>食品科學系</v>
      </c>
      <c r="B63" s="1" t="str">
        <f>"01332025"</f>
        <v>01332025</v>
      </c>
      <c r="C63" s="1" t="str">
        <f>"張鈞凱"</f>
        <v>張鈞凱</v>
      </c>
      <c r="H63" s="1" t="s">
        <v>17</v>
      </c>
      <c r="K63" s="1" t="s">
        <v>17</v>
      </c>
      <c r="N63" s="1" t="s">
        <v>17</v>
      </c>
      <c r="Q63" s="1">
        <v>3</v>
      </c>
    </row>
    <row r="64" spans="1:17" x14ac:dyDescent="0.25">
      <c r="A64" s="1" t="str">
        <f t="shared" si="3"/>
        <v>食品科學系</v>
      </c>
      <c r="B64" s="1" t="str">
        <f>"01332026"</f>
        <v>01332026</v>
      </c>
      <c r="C64" s="1" t="str">
        <f>"陳字修"</f>
        <v>陳字修</v>
      </c>
      <c r="E64" s="1" t="s">
        <v>17</v>
      </c>
      <c r="H64" s="1" t="s">
        <v>17</v>
      </c>
      <c r="K64" s="1" t="s">
        <v>17</v>
      </c>
      <c r="N64" s="1" t="s">
        <v>17</v>
      </c>
      <c r="Q64" s="1">
        <v>4</v>
      </c>
    </row>
    <row r="65" spans="1:17" x14ac:dyDescent="0.25">
      <c r="A65" s="1" t="str">
        <f t="shared" si="3"/>
        <v>食品科學系</v>
      </c>
      <c r="B65" s="1" t="str">
        <f>"01332027"</f>
        <v>01332027</v>
      </c>
      <c r="C65" s="1" t="str">
        <f>"陳羿喬"</f>
        <v>陳羿喬</v>
      </c>
      <c r="Q65" s="1">
        <v>0</v>
      </c>
    </row>
    <row r="66" spans="1:17" x14ac:dyDescent="0.25">
      <c r="A66" s="1" t="str">
        <f t="shared" si="3"/>
        <v>食品科學系</v>
      </c>
      <c r="B66" s="1" t="str">
        <f>"01332028"</f>
        <v>01332028</v>
      </c>
      <c r="C66" s="1" t="str">
        <f>"李洺宇"</f>
        <v>李洺宇</v>
      </c>
      <c r="E66" s="1" t="s">
        <v>17</v>
      </c>
      <c r="Q66" s="1">
        <v>1</v>
      </c>
    </row>
    <row r="67" spans="1:17" x14ac:dyDescent="0.25">
      <c r="A67" s="1" t="str">
        <f t="shared" si="3"/>
        <v>食品科學系</v>
      </c>
      <c r="B67" s="1" t="str">
        <f>"01332029"</f>
        <v>01332029</v>
      </c>
      <c r="C67" s="1" t="str">
        <f>"許瑜庭"</f>
        <v>許瑜庭</v>
      </c>
      <c r="H67" s="1" t="s">
        <v>17</v>
      </c>
      <c r="K67" s="1" t="s">
        <v>17</v>
      </c>
      <c r="N67" s="1" t="s">
        <v>17</v>
      </c>
      <c r="Q67" s="1">
        <v>3</v>
      </c>
    </row>
    <row r="68" spans="1:17" x14ac:dyDescent="0.25">
      <c r="A68" s="1" t="str">
        <f t="shared" si="3"/>
        <v>食品科學系</v>
      </c>
      <c r="B68" s="1" t="str">
        <f>"01332030"</f>
        <v>01332030</v>
      </c>
      <c r="C68" s="1" t="str">
        <f>"蔡伯郁"</f>
        <v>蔡伯郁</v>
      </c>
      <c r="Q68" s="1">
        <v>0</v>
      </c>
    </row>
    <row r="69" spans="1:17" x14ac:dyDescent="0.25">
      <c r="A69" s="1" t="str">
        <f t="shared" si="3"/>
        <v>食品科學系</v>
      </c>
      <c r="B69" s="1" t="str">
        <f>"01332031"</f>
        <v>01332031</v>
      </c>
      <c r="C69" s="1" t="str">
        <f>"李佳穎"</f>
        <v>李佳穎</v>
      </c>
      <c r="E69" s="1" t="s">
        <v>17</v>
      </c>
      <c r="H69" s="1" t="s">
        <v>17</v>
      </c>
      <c r="N69" s="1" t="s">
        <v>17</v>
      </c>
      <c r="Q69" s="1">
        <v>3</v>
      </c>
    </row>
    <row r="70" spans="1:17" x14ac:dyDescent="0.25">
      <c r="A70" s="1" t="str">
        <f t="shared" si="3"/>
        <v>食品科學系</v>
      </c>
      <c r="B70" s="1" t="str">
        <f>"01332032"</f>
        <v>01332032</v>
      </c>
      <c r="C70" s="1" t="str">
        <f>"王博玄"</f>
        <v>王博玄</v>
      </c>
      <c r="Q70" s="1">
        <v>0</v>
      </c>
    </row>
    <row r="71" spans="1:17" x14ac:dyDescent="0.25">
      <c r="A71" s="1" t="str">
        <f t="shared" si="3"/>
        <v>食品科學系</v>
      </c>
      <c r="B71" s="1" t="str">
        <f>"01332033"</f>
        <v>01332033</v>
      </c>
      <c r="C71" s="1" t="str">
        <f>"王聖賢"</f>
        <v>王聖賢</v>
      </c>
      <c r="Q71" s="1">
        <v>0</v>
      </c>
    </row>
    <row r="72" spans="1:17" x14ac:dyDescent="0.25">
      <c r="A72" s="1" t="str">
        <f t="shared" si="3"/>
        <v>食品科學系</v>
      </c>
      <c r="B72" s="1" t="str">
        <f>"01332034"</f>
        <v>01332034</v>
      </c>
      <c r="C72" s="1" t="str">
        <f>"劉亭妤"</f>
        <v>劉亭妤</v>
      </c>
      <c r="Q72" s="1">
        <v>0</v>
      </c>
    </row>
    <row r="73" spans="1:17" x14ac:dyDescent="0.25">
      <c r="A73" s="1" t="str">
        <f t="shared" si="3"/>
        <v>食品科學系</v>
      </c>
      <c r="B73" s="1" t="str">
        <f>"01332036"</f>
        <v>01332036</v>
      </c>
      <c r="C73" s="1" t="str">
        <f>"蘇郁媗"</f>
        <v>蘇郁媗</v>
      </c>
      <c r="Q73" s="1">
        <v>0</v>
      </c>
    </row>
    <row r="74" spans="1:17" x14ac:dyDescent="0.25">
      <c r="A74" s="1" t="str">
        <f t="shared" si="3"/>
        <v>食品科學系</v>
      </c>
      <c r="B74" s="1" t="str">
        <f>"01332037"</f>
        <v>01332037</v>
      </c>
      <c r="C74" s="1" t="str">
        <f>"邵翔晨"</f>
        <v>邵翔晨</v>
      </c>
      <c r="K74" s="1" t="s">
        <v>17</v>
      </c>
      <c r="Q74" s="1">
        <v>1</v>
      </c>
    </row>
    <row r="75" spans="1:17" x14ac:dyDescent="0.25">
      <c r="A75" s="1" t="str">
        <f t="shared" si="3"/>
        <v>食品科學系</v>
      </c>
      <c r="B75" s="1" t="str">
        <f>"01332038"</f>
        <v>01332038</v>
      </c>
      <c r="C75" s="1" t="str">
        <f>"熊之菲"</f>
        <v>熊之菲</v>
      </c>
      <c r="E75" s="1" t="s">
        <v>17</v>
      </c>
      <c r="H75" s="1" t="s">
        <v>17</v>
      </c>
      <c r="K75" s="1" t="s">
        <v>17</v>
      </c>
      <c r="N75" s="1" t="s">
        <v>17</v>
      </c>
      <c r="Q75" s="1">
        <v>4</v>
      </c>
    </row>
    <row r="76" spans="1:17" x14ac:dyDescent="0.25">
      <c r="A76" s="1" t="str">
        <f t="shared" si="3"/>
        <v>食品科學系</v>
      </c>
      <c r="B76" s="1" t="str">
        <f>"01332039"</f>
        <v>01332039</v>
      </c>
      <c r="C76" s="1" t="str">
        <f>"馮榮浩"</f>
        <v>馮榮浩</v>
      </c>
      <c r="E76" s="1" t="s">
        <v>17</v>
      </c>
      <c r="K76" s="1" t="s">
        <v>17</v>
      </c>
      <c r="N76" s="1" t="s">
        <v>17</v>
      </c>
      <c r="Q76" s="1">
        <v>3</v>
      </c>
    </row>
    <row r="77" spans="1:17" x14ac:dyDescent="0.25">
      <c r="A77" s="1" t="str">
        <f t="shared" si="3"/>
        <v>食品科學系</v>
      </c>
      <c r="B77" s="1" t="str">
        <f>"01332040"</f>
        <v>01332040</v>
      </c>
      <c r="C77" s="1" t="str">
        <f>"林靖惠"</f>
        <v>林靖惠</v>
      </c>
      <c r="E77" s="1" t="s">
        <v>17</v>
      </c>
      <c r="H77" s="1" t="s">
        <v>17</v>
      </c>
      <c r="K77" s="1" t="s">
        <v>17</v>
      </c>
      <c r="N77" s="1" t="s">
        <v>17</v>
      </c>
      <c r="Q77" s="1">
        <v>4</v>
      </c>
    </row>
    <row r="78" spans="1:17" x14ac:dyDescent="0.25">
      <c r="A78" s="1" t="str">
        <f t="shared" si="3"/>
        <v>食品科學系</v>
      </c>
      <c r="B78" s="1" t="str">
        <f>"01332041"</f>
        <v>01332041</v>
      </c>
      <c r="C78" s="1" t="str">
        <f>"洪嘉謙"</f>
        <v>洪嘉謙</v>
      </c>
      <c r="G78" s="1" t="s">
        <v>17</v>
      </c>
      <c r="J78" s="1" t="s">
        <v>17</v>
      </c>
      <c r="K78" s="1" t="s">
        <v>17</v>
      </c>
      <c r="N78" s="1" t="s">
        <v>17</v>
      </c>
      <c r="Q78" s="1">
        <v>4</v>
      </c>
    </row>
    <row r="79" spans="1:17" x14ac:dyDescent="0.25">
      <c r="A79" s="1" t="str">
        <f t="shared" si="3"/>
        <v>食品科學系</v>
      </c>
      <c r="B79" s="1" t="str">
        <f>"01332042"</f>
        <v>01332042</v>
      </c>
      <c r="C79" s="1" t="str">
        <f>"林柏廷"</f>
        <v>林柏廷</v>
      </c>
      <c r="Q79" s="1">
        <v>0</v>
      </c>
    </row>
    <row r="80" spans="1:17" x14ac:dyDescent="0.25">
      <c r="A80" s="1" t="str">
        <f t="shared" si="3"/>
        <v>食品科學系</v>
      </c>
      <c r="B80" s="1" t="str">
        <f>"01332043"</f>
        <v>01332043</v>
      </c>
      <c r="C80" s="1" t="str">
        <f>"蔡欣妤"</f>
        <v>蔡欣妤</v>
      </c>
      <c r="Q80" s="1">
        <v>0</v>
      </c>
    </row>
    <row r="81" spans="1:17" x14ac:dyDescent="0.25">
      <c r="A81" s="1" t="str">
        <f t="shared" si="3"/>
        <v>食品科學系</v>
      </c>
      <c r="B81" s="1" t="str">
        <f>"01332045"</f>
        <v>01332045</v>
      </c>
      <c r="C81" s="1" t="str">
        <f>"張育朗"</f>
        <v>張育朗</v>
      </c>
      <c r="E81" s="1" t="s">
        <v>17</v>
      </c>
      <c r="H81" s="1" t="s">
        <v>17</v>
      </c>
      <c r="K81" s="1" t="s">
        <v>17</v>
      </c>
      <c r="N81" s="1" t="s">
        <v>17</v>
      </c>
      <c r="Q81" s="1">
        <v>4</v>
      </c>
    </row>
    <row r="82" spans="1:17" x14ac:dyDescent="0.25">
      <c r="A82" s="1" t="str">
        <f t="shared" si="3"/>
        <v>食品科學系</v>
      </c>
      <c r="B82" s="1" t="str">
        <f>"01332046"</f>
        <v>01332046</v>
      </c>
      <c r="C82" s="1" t="str">
        <f>"陳畇云"</f>
        <v>陳畇云</v>
      </c>
      <c r="Q82" s="1">
        <v>0</v>
      </c>
    </row>
    <row r="83" spans="1:17" x14ac:dyDescent="0.25">
      <c r="A83" s="1" t="str">
        <f t="shared" si="3"/>
        <v>食品科學系</v>
      </c>
      <c r="B83" s="1" t="str">
        <f>"01332047"</f>
        <v>01332047</v>
      </c>
      <c r="C83" s="1" t="str">
        <f>"賴心儀"</f>
        <v>賴心儀</v>
      </c>
      <c r="Q83" s="1">
        <v>0</v>
      </c>
    </row>
    <row r="84" spans="1:17" x14ac:dyDescent="0.25">
      <c r="A84" s="1" t="str">
        <f t="shared" si="3"/>
        <v>食品科學系</v>
      </c>
      <c r="B84" s="1" t="str">
        <f>"01332048"</f>
        <v>01332048</v>
      </c>
      <c r="C84" s="1" t="str">
        <f>"謝云慈"</f>
        <v>謝云慈</v>
      </c>
      <c r="Q84" s="1">
        <v>0</v>
      </c>
    </row>
    <row r="85" spans="1:17" x14ac:dyDescent="0.25">
      <c r="A85" s="1" t="str">
        <f t="shared" si="3"/>
        <v>食品科學系</v>
      </c>
      <c r="B85" s="1" t="str">
        <f>"01332049"</f>
        <v>01332049</v>
      </c>
      <c r="C85" s="1" t="str">
        <f>"洪郁棋"</f>
        <v>洪郁棋</v>
      </c>
      <c r="Q85" s="1">
        <v>0</v>
      </c>
    </row>
    <row r="86" spans="1:17" x14ac:dyDescent="0.25">
      <c r="A86" s="1" t="str">
        <f t="shared" si="3"/>
        <v>食品科學系</v>
      </c>
      <c r="B86" s="1" t="str">
        <f>"01332051"</f>
        <v>01332051</v>
      </c>
      <c r="C86" s="1" t="str">
        <f>"張復明"</f>
        <v>張復明</v>
      </c>
      <c r="Q86" s="1">
        <v>0</v>
      </c>
    </row>
    <row r="87" spans="1:17" x14ac:dyDescent="0.25">
      <c r="A87" s="1" t="str">
        <f t="shared" si="3"/>
        <v>食品科學系</v>
      </c>
      <c r="B87" s="1" t="str">
        <f>"01332052"</f>
        <v>01332052</v>
      </c>
      <c r="C87" s="1" t="str">
        <f>"張聖豪"</f>
        <v>張聖豪</v>
      </c>
      <c r="Q87" s="1">
        <v>0</v>
      </c>
    </row>
    <row r="88" spans="1:17" x14ac:dyDescent="0.25">
      <c r="A88" s="1" t="str">
        <f t="shared" si="3"/>
        <v>食品科學系</v>
      </c>
      <c r="B88" s="1" t="str">
        <f>"01332053"</f>
        <v>01332053</v>
      </c>
      <c r="C88" s="1" t="str">
        <f>"杜宜恩"</f>
        <v>杜宜恩</v>
      </c>
      <c r="D88" s="1" t="s">
        <v>17</v>
      </c>
      <c r="G88" s="1" t="s">
        <v>17</v>
      </c>
      <c r="J88" s="1" t="s">
        <v>17</v>
      </c>
      <c r="M88" s="1" t="s">
        <v>17</v>
      </c>
      <c r="P88" s="1" t="s">
        <v>17</v>
      </c>
      <c r="Q88" s="1">
        <v>5</v>
      </c>
    </row>
    <row r="89" spans="1:17" x14ac:dyDescent="0.25">
      <c r="A89" s="1" t="str">
        <f t="shared" si="3"/>
        <v>食品科學系</v>
      </c>
      <c r="B89" s="1" t="str">
        <f>"01332101"</f>
        <v>01332101</v>
      </c>
      <c r="C89" s="1" t="str">
        <f>"賴昱辰"</f>
        <v>賴昱辰</v>
      </c>
      <c r="L89" s="1" t="s">
        <v>17</v>
      </c>
      <c r="N89" s="1" t="s">
        <v>17</v>
      </c>
      <c r="Q89" s="1">
        <v>2</v>
      </c>
    </row>
    <row r="90" spans="1:17" x14ac:dyDescent="0.25">
      <c r="A90" s="1" t="str">
        <f t="shared" si="3"/>
        <v>食品科學系</v>
      </c>
      <c r="B90" s="1" t="str">
        <f>"01332102"</f>
        <v>01332102</v>
      </c>
      <c r="C90" s="1" t="str">
        <f>"盧威晟"</f>
        <v>盧威晟</v>
      </c>
      <c r="Q90" s="1">
        <v>0</v>
      </c>
    </row>
    <row r="91" spans="1:17" x14ac:dyDescent="0.25">
      <c r="A91" s="1" t="str">
        <f t="shared" si="3"/>
        <v>食品科學系</v>
      </c>
      <c r="B91" s="1" t="str">
        <f>"01332103"</f>
        <v>01332103</v>
      </c>
      <c r="C91" s="1" t="str">
        <f>"許智淵"</f>
        <v>許智淵</v>
      </c>
      <c r="L91" s="1" t="s">
        <v>17</v>
      </c>
      <c r="Q91" s="1">
        <v>1</v>
      </c>
    </row>
    <row r="92" spans="1:17" x14ac:dyDescent="0.25">
      <c r="A92" s="1" t="str">
        <f t="shared" si="3"/>
        <v>食品科學系</v>
      </c>
      <c r="B92" s="1" t="str">
        <f>"01332104"</f>
        <v>01332104</v>
      </c>
      <c r="C92" s="1" t="str">
        <f>"王璟馨"</f>
        <v>王璟馨</v>
      </c>
      <c r="E92" s="1" t="s">
        <v>17</v>
      </c>
      <c r="Q92" s="1">
        <v>1</v>
      </c>
    </row>
    <row r="93" spans="1:17" x14ac:dyDescent="0.25">
      <c r="A93" s="1" t="str">
        <f t="shared" si="3"/>
        <v>食品科學系</v>
      </c>
      <c r="B93" s="1" t="str">
        <f>"01332105"</f>
        <v>01332105</v>
      </c>
      <c r="C93" s="1" t="str">
        <f>"郭紹揚"</f>
        <v>郭紹揚</v>
      </c>
      <c r="P93" s="1" t="s">
        <v>17</v>
      </c>
      <c r="Q93" s="1">
        <v>1</v>
      </c>
    </row>
    <row r="94" spans="1:17" x14ac:dyDescent="0.25">
      <c r="A94" s="1" t="str">
        <f t="shared" si="3"/>
        <v>食品科學系</v>
      </c>
      <c r="B94" s="1" t="str">
        <f>"01332106"</f>
        <v>01332106</v>
      </c>
      <c r="C94" s="1" t="str">
        <f>"謝忻育"</f>
        <v>謝忻育</v>
      </c>
      <c r="Q94" s="1">
        <v>0</v>
      </c>
    </row>
    <row r="95" spans="1:17" x14ac:dyDescent="0.25">
      <c r="A95" s="2" t="s">
        <v>0</v>
      </c>
      <c r="B95" s="2" t="s">
        <v>1</v>
      </c>
      <c r="C95" s="2" t="s">
        <v>2</v>
      </c>
      <c r="D95" s="3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3" t="s">
        <v>15</v>
      </c>
      <c r="P95" s="3" t="s">
        <v>16</v>
      </c>
      <c r="Q95" s="4" t="s">
        <v>3</v>
      </c>
    </row>
    <row r="96" spans="1:17" x14ac:dyDescent="0.25">
      <c r="A96" s="1" t="str">
        <f t="shared" ref="A96:A138" si="4">"食品科學系"</f>
        <v>食品科學系</v>
      </c>
      <c r="B96" s="1" t="str">
        <f>"01332107"</f>
        <v>01332107</v>
      </c>
      <c r="C96" s="1" t="str">
        <f>"卓懿瑄"</f>
        <v>卓懿瑄</v>
      </c>
      <c r="Q96" s="1">
        <v>0</v>
      </c>
    </row>
    <row r="97" spans="1:17" x14ac:dyDescent="0.25">
      <c r="A97" s="1" t="str">
        <f t="shared" si="4"/>
        <v>食品科學系</v>
      </c>
      <c r="B97" s="1" t="str">
        <f>"01332108"</f>
        <v>01332108</v>
      </c>
      <c r="C97" s="1" t="str">
        <f>"羅翊方"</f>
        <v>羅翊方</v>
      </c>
      <c r="E97" s="1" t="s">
        <v>17</v>
      </c>
      <c r="Q97" s="1">
        <v>1</v>
      </c>
    </row>
    <row r="98" spans="1:17" x14ac:dyDescent="0.25">
      <c r="A98" s="1" t="str">
        <f t="shared" si="4"/>
        <v>食品科學系</v>
      </c>
      <c r="B98" s="1" t="str">
        <f>"01332109"</f>
        <v>01332109</v>
      </c>
      <c r="C98" s="1" t="str">
        <f>"張佑宇"</f>
        <v>張佑宇</v>
      </c>
      <c r="Q98" s="1">
        <v>0</v>
      </c>
    </row>
    <row r="99" spans="1:17" x14ac:dyDescent="0.25">
      <c r="A99" s="1" t="str">
        <f t="shared" si="4"/>
        <v>食品科學系</v>
      </c>
      <c r="B99" s="1" t="str">
        <f>"01332110"</f>
        <v>01332110</v>
      </c>
      <c r="C99" s="1" t="str">
        <f>"邱辰霜"</f>
        <v>邱辰霜</v>
      </c>
      <c r="Q99" s="1">
        <v>0</v>
      </c>
    </row>
    <row r="100" spans="1:17" x14ac:dyDescent="0.25">
      <c r="A100" s="1" t="str">
        <f t="shared" si="4"/>
        <v>食品科學系</v>
      </c>
      <c r="B100" s="1" t="str">
        <f>"01332111"</f>
        <v>01332111</v>
      </c>
      <c r="C100" s="1" t="str">
        <f>"吳宗瑾"</f>
        <v>吳宗瑾</v>
      </c>
      <c r="E100" s="1" t="s">
        <v>17</v>
      </c>
      <c r="H100" s="1" t="s">
        <v>17</v>
      </c>
      <c r="K100" s="1" t="s">
        <v>17</v>
      </c>
      <c r="N100" s="1" t="s">
        <v>17</v>
      </c>
      <c r="Q100" s="1">
        <v>4</v>
      </c>
    </row>
    <row r="101" spans="1:17" x14ac:dyDescent="0.25">
      <c r="A101" s="1" t="str">
        <f t="shared" si="4"/>
        <v>食品科學系</v>
      </c>
      <c r="B101" s="1" t="str">
        <f>"01332112"</f>
        <v>01332112</v>
      </c>
      <c r="C101" s="1" t="str">
        <f>"尚文琪"</f>
        <v>尚文琪</v>
      </c>
      <c r="H101" s="1" t="s">
        <v>17</v>
      </c>
      <c r="K101" s="1" t="s">
        <v>17</v>
      </c>
      <c r="N101" s="1" t="s">
        <v>17</v>
      </c>
      <c r="Q101" s="1">
        <v>3</v>
      </c>
    </row>
    <row r="102" spans="1:17" x14ac:dyDescent="0.25">
      <c r="A102" s="1" t="str">
        <f t="shared" si="4"/>
        <v>食品科學系</v>
      </c>
      <c r="B102" s="1" t="str">
        <f>"01332113"</f>
        <v>01332113</v>
      </c>
      <c r="C102" s="1" t="str">
        <f>"劉沁瑀"</f>
        <v>劉沁瑀</v>
      </c>
      <c r="Q102" s="1">
        <v>0</v>
      </c>
    </row>
    <row r="103" spans="1:17" x14ac:dyDescent="0.25">
      <c r="A103" s="1" t="str">
        <f t="shared" si="4"/>
        <v>食品科學系</v>
      </c>
      <c r="B103" s="1" t="str">
        <f>"01332114"</f>
        <v>01332114</v>
      </c>
      <c r="C103" s="1" t="str">
        <f>"吳昱緗"</f>
        <v>吳昱緗</v>
      </c>
      <c r="Q103" s="1">
        <v>0</v>
      </c>
    </row>
    <row r="104" spans="1:17" x14ac:dyDescent="0.25">
      <c r="A104" s="1" t="str">
        <f t="shared" si="4"/>
        <v>食品科學系</v>
      </c>
      <c r="B104" s="1" t="str">
        <f>"01332115"</f>
        <v>01332115</v>
      </c>
      <c r="C104" s="1" t="str">
        <f>"姜鑫蕊"</f>
        <v>姜鑫蕊</v>
      </c>
      <c r="Q104" s="1">
        <v>0</v>
      </c>
    </row>
    <row r="105" spans="1:17" x14ac:dyDescent="0.25">
      <c r="A105" s="1" t="str">
        <f t="shared" si="4"/>
        <v>食品科學系</v>
      </c>
      <c r="B105" s="1" t="str">
        <f>"01332116"</f>
        <v>01332116</v>
      </c>
      <c r="C105" s="1" t="str">
        <f>"吳承澤"</f>
        <v>吳承澤</v>
      </c>
      <c r="Q105" s="1">
        <v>0</v>
      </c>
    </row>
    <row r="106" spans="1:17" x14ac:dyDescent="0.25">
      <c r="A106" s="1" t="str">
        <f t="shared" si="4"/>
        <v>食品科學系</v>
      </c>
      <c r="B106" s="1" t="str">
        <f>"01332117"</f>
        <v>01332117</v>
      </c>
      <c r="C106" s="1" t="str">
        <f>"林妤宸"</f>
        <v>林妤宸</v>
      </c>
      <c r="Q106" s="1">
        <v>0</v>
      </c>
    </row>
    <row r="107" spans="1:17" x14ac:dyDescent="0.25">
      <c r="A107" s="1" t="str">
        <f t="shared" si="4"/>
        <v>食品科學系</v>
      </c>
      <c r="B107" s="1" t="str">
        <f>"01332118"</f>
        <v>01332118</v>
      </c>
      <c r="C107" s="1" t="str">
        <f>"田宇婕"</f>
        <v>田宇婕</v>
      </c>
      <c r="F107" s="1" t="s">
        <v>17</v>
      </c>
      <c r="I107" s="1" t="s">
        <v>17</v>
      </c>
      <c r="L107" s="1" t="s">
        <v>17</v>
      </c>
      <c r="O107" s="1" t="s">
        <v>17</v>
      </c>
      <c r="Q107" s="1">
        <v>4</v>
      </c>
    </row>
    <row r="108" spans="1:17" x14ac:dyDescent="0.25">
      <c r="A108" s="1" t="str">
        <f t="shared" si="4"/>
        <v>食品科學系</v>
      </c>
      <c r="B108" s="1" t="str">
        <f>"01332119"</f>
        <v>01332119</v>
      </c>
      <c r="C108" s="1" t="str">
        <f>"陳昱穎"</f>
        <v>陳昱穎</v>
      </c>
      <c r="Q108" s="1">
        <v>0</v>
      </c>
    </row>
    <row r="109" spans="1:17" x14ac:dyDescent="0.25">
      <c r="A109" s="1" t="str">
        <f t="shared" si="4"/>
        <v>食品科學系</v>
      </c>
      <c r="B109" s="1" t="str">
        <f>"01332120"</f>
        <v>01332120</v>
      </c>
      <c r="C109" s="1" t="str">
        <f>"陳詩涵"</f>
        <v>陳詩涵</v>
      </c>
      <c r="E109" s="1" t="s">
        <v>17</v>
      </c>
      <c r="N109" s="1" t="s">
        <v>17</v>
      </c>
      <c r="Q109" s="1">
        <v>2</v>
      </c>
    </row>
    <row r="110" spans="1:17" x14ac:dyDescent="0.25">
      <c r="A110" s="1" t="str">
        <f t="shared" si="4"/>
        <v>食品科學系</v>
      </c>
      <c r="B110" s="1" t="str">
        <f>"01332121"</f>
        <v>01332121</v>
      </c>
      <c r="C110" s="1" t="str">
        <f>"高意庭"</f>
        <v>高意庭</v>
      </c>
      <c r="E110" s="1" t="s">
        <v>17</v>
      </c>
      <c r="Q110" s="1">
        <v>1</v>
      </c>
    </row>
    <row r="111" spans="1:17" x14ac:dyDescent="0.25">
      <c r="A111" s="1" t="str">
        <f t="shared" si="4"/>
        <v>食品科學系</v>
      </c>
      <c r="B111" s="1" t="str">
        <f>"01332122"</f>
        <v>01332122</v>
      </c>
      <c r="C111" s="1" t="str">
        <f>"許紹恆"</f>
        <v>許紹恆</v>
      </c>
      <c r="E111" s="1" t="s">
        <v>17</v>
      </c>
      <c r="M111" s="1" t="s">
        <v>17</v>
      </c>
      <c r="P111" s="1" t="s">
        <v>17</v>
      </c>
      <c r="Q111" s="1">
        <v>3</v>
      </c>
    </row>
    <row r="112" spans="1:17" x14ac:dyDescent="0.25">
      <c r="A112" s="1" t="str">
        <f t="shared" si="4"/>
        <v>食品科學系</v>
      </c>
      <c r="B112" s="1" t="str">
        <f>"01332123"</f>
        <v>01332123</v>
      </c>
      <c r="C112" s="1" t="str">
        <f>"蔡靖儀"</f>
        <v>蔡靖儀</v>
      </c>
      <c r="Q112" s="1">
        <v>0</v>
      </c>
    </row>
    <row r="113" spans="1:17" x14ac:dyDescent="0.25">
      <c r="A113" s="1" t="str">
        <f t="shared" si="4"/>
        <v>食品科學系</v>
      </c>
      <c r="B113" s="1" t="str">
        <f>"01332124"</f>
        <v>01332124</v>
      </c>
      <c r="C113" s="1" t="str">
        <f>"呂坤祐"</f>
        <v>呂坤祐</v>
      </c>
      <c r="Q113" s="1">
        <v>0</v>
      </c>
    </row>
    <row r="114" spans="1:17" x14ac:dyDescent="0.25">
      <c r="A114" s="1" t="str">
        <f t="shared" si="4"/>
        <v>食品科學系</v>
      </c>
      <c r="B114" s="1" t="str">
        <f>"01332126"</f>
        <v>01332126</v>
      </c>
      <c r="C114" s="1" t="str">
        <f>"管浩均"</f>
        <v>管浩均</v>
      </c>
      <c r="Q114" s="1">
        <v>0</v>
      </c>
    </row>
    <row r="115" spans="1:17" x14ac:dyDescent="0.25">
      <c r="A115" s="1" t="str">
        <f t="shared" si="4"/>
        <v>食品科學系</v>
      </c>
      <c r="B115" s="1" t="str">
        <f>"01332127"</f>
        <v>01332127</v>
      </c>
      <c r="C115" s="1" t="str">
        <f>"唐奕晴"</f>
        <v>唐奕晴</v>
      </c>
      <c r="Q115" s="1">
        <v>0</v>
      </c>
    </row>
    <row r="116" spans="1:17" x14ac:dyDescent="0.25">
      <c r="A116" s="1" t="str">
        <f t="shared" si="4"/>
        <v>食品科學系</v>
      </c>
      <c r="B116" s="1" t="str">
        <f>"01332128"</f>
        <v>01332128</v>
      </c>
      <c r="C116" s="1" t="str">
        <f>"鍾昀珍"</f>
        <v>鍾昀珍</v>
      </c>
      <c r="Q116" s="1">
        <v>0</v>
      </c>
    </row>
    <row r="117" spans="1:17" x14ac:dyDescent="0.25">
      <c r="A117" s="1" t="str">
        <f t="shared" si="4"/>
        <v>食品科學系</v>
      </c>
      <c r="B117" s="1" t="str">
        <f>"01332129"</f>
        <v>01332129</v>
      </c>
      <c r="C117" s="1" t="str">
        <f>"沈庭毅"</f>
        <v>沈庭毅</v>
      </c>
      <c r="Q117" s="1">
        <v>0</v>
      </c>
    </row>
    <row r="118" spans="1:17" x14ac:dyDescent="0.25">
      <c r="A118" s="1" t="str">
        <f t="shared" si="4"/>
        <v>食品科學系</v>
      </c>
      <c r="B118" s="1" t="str">
        <f>"01332130"</f>
        <v>01332130</v>
      </c>
      <c r="C118" s="1" t="str">
        <f>"王子芸"</f>
        <v>王子芸</v>
      </c>
      <c r="Q118" s="1">
        <v>0</v>
      </c>
    </row>
    <row r="119" spans="1:17" x14ac:dyDescent="0.25">
      <c r="A119" s="1" t="str">
        <f t="shared" si="4"/>
        <v>食品科學系</v>
      </c>
      <c r="B119" s="1" t="str">
        <f>"01332131"</f>
        <v>01332131</v>
      </c>
      <c r="C119" s="1" t="str">
        <f>"石筑瑜"</f>
        <v>石筑瑜</v>
      </c>
      <c r="E119" s="1" t="s">
        <v>17</v>
      </c>
      <c r="Q119" s="1">
        <v>1</v>
      </c>
    </row>
    <row r="120" spans="1:17" x14ac:dyDescent="0.25">
      <c r="A120" s="1" t="str">
        <f t="shared" si="4"/>
        <v>食品科學系</v>
      </c>
      <c r="B120" s="1" t="str">
        <f>"01332132"</f>
        <v>01332132</v>
      </c>
      <c r="C120" s="1" t="str">
        <f>"李靖潔"</f>
        <v>李靖潔</v>
      </c>
      <c r="Q120" s="1">
        <v>0</v>
      </c>
    </row>
    <row r="121" spans="1:17" x14ac:dyDescent="0.25">
      <c r="A121" s="1" t="str">
        <f t="shared" si="4"/>
        <v>食品科學系</v>
      </c>
      <c r="B121" s="1" t="str">
        <f>"01332133"</f>
        <v>01332133</v>
      </c>
      <c r="C121" s="1" t="str">
        <f>"王思涵"</f>
        <v>王思涵</v>
      </c>
      <c r="Q121" s="1">
        <v>0</v>
      </c>
    </row>
    <row r="122" spans="1:17" x14ac:dyDescent="0.25">
      <c r="A122" s="1" t="str">
        <f t="shared" si="4"/>
        <v>食品科學系</v>
      </c>
      <c r="B122" s="1" t="str">
        <f>"01332134"</f>
        <v>01332134</v>
      </c>
      <c r="C122" s="1" t="str">
        <f>"李佩融"</f>
        <v>李佩融</v>
      </c>
      <c r="H122" s="1" t="s">
        <v>17</v>
      </c>
      <c r="N122" s="1" t="s">
        <v>17</v>
      </c>
      <c r="Q122" s="1">
        <v>2</v>
      </c>
    </row>
    <row r="123" spans="1:17" x14ac:dyDescent="0.25">
      <c r="A123" s="1" t="str">
        <f t="shared" si="4"/>
        <v>食品科學系</v>
      </c>
      <c r="B123" s="1" t="str">
        <f>"01332135"</f>
        <v>01332135</v>
      </c>
      <c r="C123" s="1" t="str">
        <f>"黃暐珊"</f>
        <v>黃暐珊</v>
      </c>
      <c r="Q123" s="1">
        <v>0</v>
      </c>
    </row>
    <row r="124" spans="1:17" x14ac:dyDescent="0.25">
      <c r="A124" s="1" t="str">
        <f t="shared" si="4"/>
        <v>食品科學系</v>
      </c>
      <c r="B124" s="1" t="str">
        <f>"01332136"</f>
        <v>01332136</v>
      </c>
      <c r="C124" s="1" t="str">
        <f>"林宥安"</f>
        <v>林宥安</v>
      </c>
      <c r="Q124" s="1">
        <v>0</v>
      </c>
    </row>
    <row r="125" spans="1:17" x14ac:dyDescent="0.25">
      <c r="A125" s="1" t="str">
        <f t="shared" si="4"/>
        <v>食品科學系</v>
      </c>
      <c r="B125" s="1" t="str">
        <f>"01332137"</f>
        <v>01332137</v>
      </c>
      <c r="C125" s="1" t="str">
        <f>"王晨安"</f>
        <v>王晨安</v>
      </c>
      <c r="Q125" s="1">
        <v>0</v>
      </c>
    </row>
    <row r="126" spans="1:17" x14ac:dyDescent="0.25">
      <c r="A126" s="1" t="str">
        <f t="shared" si="4"/>
        <v>食品科學系</v>
      </c>
      <c r="B126" s="1" t="str">
        <f>"01332138"</f>
        <v>01332138</v>
      </c>
      <c r="C126" s="1" t="str">
        <f>"許軒毓"</f>
        <v>許軒毓</v>
      </c>
      <c r="Q126" s="1">
        <v>0</v>
      </c>
    </row>
    <row r="127" spans="1:17" x14ac:dyDescent="0.25">
      <c r="A127" s="1" t="str">
        <f t="shared" si="4"/>
        <v>食品科學系</v>
      </c>
      <c r="B127" s="1" t="str">
        <f>"01332139"</f>
        <v>01332139</v>
      </c>
      <c r="C127" s="1" t="str">
        <f>"楊喬伊"</f>
        <v>楊喬伊</v>
      </c>
      <c r="K127" s="1" t="s">
        <v>17</v>
      </c>
      <c r="N127" s="1" t="s">
        <v>17</v>
      </c>
      <c r="Q127" s="1">
        <v>2</v>
      </c>
    </row>
    <row r="128" spans="1:17" x14ac:dyDescent="0.25">
      <c r="A128" s="1" t="str">
        <f t="shared" si="4"/>
        <v>食品科學系</v>
      </c>
      <c r="B128" s="1" t="str">
        <f>"01332140"</f>
        <v>01332140</v>
      </c>
      <c r="C128" s="1" t="str">
        <f>"宋佳勳"</f>
        <v>宋佳勳</v>
      </c>
      <c r="Q128" s="1">
        <v>0</v>
      </c>
    </row>
    <row r="129" spans="1:17" x14ac:dyDescent="0.25">
      <c r="A129" s="1" t="str">
        <f t="shared" si="4"/>
        <v>食品科學系</v>
      </c>
      <c r="B129" s="1" t="str">
        <f>"01332141"</f>
        <v>01332141</v>
      </c>
      <c r="C129" s="1" t="str">
        <f>"陳卉宣"</f>
        <v>陳卉宣</v>
      </c>
      <c r="G129" s="1" t="s">
        <v>17</v>
      </c>
      <c r="Q129" s="1">
        <v>1</v>
      </c>
    </row>
    <row r="130" spans="1:17" x14ac:dyDescent="0.25">
      <c r="A130" s="1" t="str">
        <f t="shared" si="4"/>
        <v>食品科學系</v>
      </c>
      <c r="B130" s="1" t="str">
        <f>"01332142"</f>
        <v>01332142</v>
      </c>
      <c r="C130" s="1" t="str">
        <f>"陳羽宣"</f>
        <v>陳羽宣</v>
      </c>
      <c r="F130" s="1" t="s">
        <v>17</v>
      </c>
      <c r="I130" s="1" t="s">
        <v>17</v>
      </c>
      <c r="L130" s="1" t="s">
        <v>17</v>
      </c>
      <c r="O130" s="1" t="s">
        <v>17</v>
      </c>
      <c r="Q130" s="1">
        <v>4</v>
      </c>
    </row>
    <row r="131" spans="1:17" x14ac:dyDescent="0.25">
      <c r="A131" s="1" t="str">
        <f t="shared" si="4"/>
        <v>食品科學系</v>
      </c>
      <c r="B131" s="1" t="str">
        <f>"01332146"</f>
        <v>01332146</v>
      </c>
      <c r="C131" s="1" t="str">
        <f>"林妍宣"</f>
        <v>林妍宣</v>
      </c>
      <c r="G131" s="1" t="s">
        <v>17</v>
      </c>
      <c r="Q131" s="1">
        <v>1</v>
      </c>
    </row>
    <row r="132" spans="1:17" x14ac:dyDescent="0.25">
      <c r="A132" s="1" t="str">
        <f t="shared" si="4"/>
        <v>食品科學系</v>
      </c>
      <c r="B132" s="1" t="str">
        <f>"01332147"</f>
        <v>01332147</v>
      </c>
      <c r="C132" s="1" t="str">
        <f>"葉子瑜"</f>
        <v>葉子瑜</v>
      </c>
      <c r="Q132" s="1">
        <v>0</v>
      </c>
    </row>
    <row r="133" spans="1:17" x14ac:dyDescent="0.25">
      <c r="A133" s="1" t="str">
        <f t="shared" si="4"/>
        <v>食品科學系</v>
      </c>
      <c r="B133" s="1" t="str">
        <f>"01332148"</f>
        <v>01332148</v>
      </c>
      <c r="C133" s="1" t="str">
        <f>"黃毓傑"</f>
        <v>黃毓傑</v>
      </c>
      <c r="Q133" s="1">
        <v>0</v>
      </c>
    </row>
    <row r="134" spans="1:17" x14ac:dyDescent="0.25">
      <c r="A134" s="1" t="str">
        <f t="shared" si="4"/>
        <v>食品科學系</v>
      </c>
      <c r="B134" s="1" t="str">
        <f>"01332149"</f>
        <v>01332149</v>
      </c>
      <c r="C134" s="1" t="str">
        <f>"姚甄嘉"</f>
        <v>姚甄嘉</v>
      </c>
      <c r="Q134" s="1">
        <v>0</v>
      </c>
    </row>
    <row r="135" spans="1:17" x14ac:dyDescent="0.25">
      <c r="A135" s="1" t="str">
        <f t="shared" si="4"/>
        <v>食品科學系</v>
      </c>
      <c r="B135" s="1" t="str">
        <f>"01332150"</f>
        <v>01332150</v>
      </c>
      <c r="C135" s="1" t="str">
        <f>"張雪麗"</f>
        <v>張雪麗</v>
      </c>
      <c r="Q135" s="1">
        <v>0</v>
      </c>
    </row>
    <row r="136" spans="1:17" x14ac:dyDescent="0.25">
      <c r="A136" s="1" t="str">
        <f t="shared" si="4"/>
        <v>食品科學系</v>
      </c>
      <c r="B136" s="1" t="str">
        <f>"01332151"</f>
        <v>01332151</v>
      </c>
      <c r="C136" s="1" t="str">
        <f>"張瑜霞"</f>
        <v>張瑜霞</v>
      </c>
      <c r="Q136" s="1">
        <v>0</v>
      </c>
    </row>
    <row r="137" spans="1:17" x14ac:dyDescent="0.25">
      <c r="A137" s="1" t="str">
        <f t="shared" si="4"/>
        <v>食品科學系</v>
      </c>
      <c r="B137" s="1" t="str">
        <f>"01332152"</f>
        <v>01332152</v>
      </c>
      <c r="C137" s="1" t="str">
        <f>"陳姝潤"</f>
        <v>陳姝潤</v>
      </c>
      <c r="Q137" s="1">
        <v>0</v>
      </c>
    </row>
    <row r="138" spans="1:17" x14ac:dyDescent="0.25">
      <c r="A138" s="1" t="str">
        <f t="shared" si="4"/>
        <v>食品科學系</v>
      </c>
      <c r="B138" s="1" t="str">
        <f>"01332153"</f>
        <v>01332153</v>
      </c>
      <c r="C138" s="1" t="str">
        <f>"鄭力豪"</f>
        <v>鄭力豪</v>
      </c>
      <c r="G138" s="1" t="s">
        <v>17</v>
      </c>
      <c r="H138" s="1" t="s">
        <v>17</v>
      </c>
      <c r="J138" s="1" t="s">
        <v>17</v>
      </c>
      <c r="K138" s="1" t="s">
        <v>17</v>
      </c>
      <c r="M138" s="1" t="s">
        <v>17</v>
      </c>
      <c r="N138" s="1" t="s">
        <v>17</v>
      </c>
      <c r="P138" s="1" t="s">
        <v>17</v>
      </c>
      <c r="Q138" s="1">
        <v>7</v>
      </c>
    </row>
    <row r="139" spans="1:17" x14ac:dyDescent="0.25">
      <c r="A139" s="1" t="str">
        <f>"河海工程學系"</f>
        <v>河海工程學系</v>
      </c>
      <c r="B139" s="1" t="str">
        <f>"01352036"</f>
        <v>01352036</v>
      </c>
      <c r="C139" s="1" t="str">
        <f>"林煒翔"</f>
        <v>林煒翔</v>
      </c>
      <c r="Q139" s="1">
        <v>0</v>
      </c>
    </row>
    <row r="140" spans="1:17" x14ac:dyDescent="0.25">
      <c r="A140" s="1" t="str">
        <f>"商船學系"</f>
        <v>商船學系</v>
      </c>
      <c r="B140" s="1" t="str">
        <f>"01371149"</f>
        <v>01371149</v>
      </c>
      <c r="C140" s="1" t="str">
        <f>"張鈞睿"</f>
        <v>張鈞睿</v>
      </c>
      <c r="Q140" s="1">
        <v>0</v>
      </c>
    </row>
    <row r="141" spans="1:17" x14ac:dyDescent="0.25">
      <c r="A141" s="1" t="str">
        <f>"海洋觀光管理學士學位學程"</f>
        <v>海洋觀光管理學士學位學程</v>
      </c>
      <c r="B141" s="1" t="str">
        <f>"01376027"</f>
        <v>01376027</v>
      </c>
      <c r="C141" s="1" t="str">
        <f>"鄭羽欣"</f>
        <v>鄭羽欣</v>
      </c>
      <c r="Q141" s="1">
        <v>0</v>
      </c>
    </row>
    <row r="142" spans="1:17" x14ac:dyDescent="0.25">
      <c r="A142" s="2" t="s">
        <v>0</v>
      </c>
      <c r="B142" s="2" t="s">
        <v>1</v>
      </c>
      <c r="C142" s="2" t="s">
        <v>2</v>
      </c>
      <c r="D142" s="3" t="s">
        <v>4</v>
      </c>
      <c r="E142" s="3" t="s">
        <v>5</v>
      </c>
      <c r="F142" s="3" t="s">
        <v>6</v>
      </c>
      <c r="G142" s="3" t="s">
        <v>7</v>
      </c>
      <c r="H142" s="3" t="s">
        <v>8</v>
      </c>
      <c r="I142" s="3" t="s">
        <v>9</v>
      </c>
      <c r="J142" s="3" t="s">
        <v>10</v>
      </c>
      <c r="K142" s="3" t="s">
        <v>11</v>
      </c>
      <c r="L142" s="3" t="s">
        <v>12</v>
      </c>
      <c r="M142" s="3" t="s">
        <v>13</v>
      </c>
      <c r="N142" s="3" t="s">
        <v>14</v>
      </c>
      <c r="O142" s="3" t="s">
        <v>15</v>
      </c>
      <c r="P142" s="3" t="s">
        <v>16</v>
      </c>
      <c r="Q142" s="4" t="s">
        <v>3</v>
      </c>
    </row>
    <row r="143" spans="1:17" x14ac:dyDescent="0.25">
      <c r="A143" s="1" t="str">
        <f>"光電與材料科技學系"</f>
        <v>光電與材料科技學系</v>
      </c>
      <c r="B143" s="1" t="str">
        <f>"01389013"</f>
        <v>01389013</v>
      </c>
      <c r="C143" s="1" t="str">
        <f>"簡韻真"</f>
        <v>簡韻真</v>
      </c>
      <c r="Q143" s="1">
        <v>0</v>
      </c>
    </row>
  </sheetData>
  <phoneticPr fontId="1" type="noConversion"/>
  <pageMargins left="0.45866141700000002" right="0.196850393700787" top="0.74803149606299202" bottom="0.99803149599999996" header="0.31496062992126" footer="0.31496062992126"/>
  <pageSetup paperSize="9" orientation="portrait" r:id="rId1"/>
  <headerFooter>
    <oddHeader>&amp;C1132化學補強教學出席率登記本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42"/>
  <sheetViews>
    <sheetView view="pageLayout" topLeftCell="A136" zoomScale="171" zoomScaleNormal="100" zoomScalePageLayoutView="171" workbookViewId="0">
      <selection activeCell="Q125" sqref="Q125"/>
    </sheetView>
  </sheetViews>
  <sheetFormatPr defaultColWidth="9" defaultRowHeight="16.5" x14ac:dyDescent="0.25"/>
  <cols>
    <col min="1" max="1" width="6.125" style="1" customWidth="1"/>
    <col min="2" max="2" width="8.625" style="1" customWidth="1"/>
    <col min="3" max="3" width="8" style="1" customWidth="1"/>
    <col min="4" max="17" width="4.625" style="1" customWidth="1"/>
    <col min="18" max="16384" width="9" style="1"/>
  </cols>
  <sheetData>
    <row r="2" spans="1:17" x14ac:dyDescent="0.25">
      <c r="A2" s="2" t="s">
        <v>0</v>
      </c>
      <c r="B2" s="2" t="s">
        <v>1</v>
      </c>
      <c r="C2" s="2" t="s">
        <v>2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3</v>
      </c>
    </row>
    <row r="3" spans="1:17" x14ac:dyDescent="0.25">
      <c r="A3" s="1" t="str">
        <f>"食品科學系"</f>
        <v>食品科學系</v>
      </c>
      <c r="B3" s="1" t="str">
        <f>"01032032"</f>
        <v>01032032</v>
      </c>
      <c r="C3" s="1" t="str">
        <f>"盧珮妤"</f>
        <v>盧珮妤</v>
      </c>
      <c r="E3" s="1" t="s">
        <v>17</v>
      </c>
      <c r="H3" s="1" t="s">
        <v>17</v>
      </c>
      <c r="Q3" s="1">
        <v>2</v>
      </c>
    </row>
    <row r="4" spans="1:17" x14ac:dyDescent="0.25">
      <c r="A4" s="1" t="str">
        <f>"海洋環境資訊系"</f>
        <v>海洋環境資訊系</v>
      </c>
      <c r="B4" s="1" t="str">
        <f>"01081016"</f>
        <v>01081016</v>
      </c>
      <c r="C4" s="1" t="str">
        <f>"張博淮"</f>
        <v>張博淮</v>
      </c>
      <c r="Q4" s="1">
        <v>0</v>
      </c>
    </row>
    <row r="5" spans="1:17" x14ac:dyDescent="0.25">
      <c r="A5" s="1" t="str">
        <f>"海洋環境資訊系"</f>
        <v>海洋環境資訊系</v>
      </c>
      <c r="B5" s="1" t="str">
        <f>"01081037"</f>
        <v>01081037</v>
      </c>
      <c r="C5" s="1" t="str">
        <f>"葉明暄"</f>
        <v>葉明暄</v>
      </c>
      <c r="Q5" s="1">
        <v>0</v>
      </c>
    </row>
    <row r="6" spans="1:17" x14ac:dyDescent="0.25">
      <c r="A6" s="1" t="str">
        <f>"生命科學暨生物科技學系"</f>
        <v>生命科學暨生物科技學系</v>
      </c>
      <c r="B6" s="1" t="str">
        <f>"0109E023"</f>
        <v>0109E023</v>
      </c>
      <c r="C6" s="1" t="str">
        <f>"杜茗禾"</f>
        <v>杜茗禾</v>
      </c>
      <c r="Q6" s="1">
        <v>0</v>
      </c>
    </row>
    <row r="7" spans="1:17" x14ac:dyDescent="0.25">
      <c r="A7" s="1" t="str">
        <f>"環境生物與漁業科學學系"</f>
        <v>環境生物與漁業科學學系</v>
      </c>
      <c r="B7" s="1" t="str">
        <f>"01131003"</f>
        <v>01131003</v>
      </c>
      <c r="C7" s="1" t="str">
        <f>"邵榆芳"</f>
        <v>邵榆芳</v>
      </c>
      <c r="Q7" s="1">
        <v>0</v>
      </c>
    </row>
    <row r="8" spans="1:17" x14ac:dyDescent="0.25">
      <c r="A8" s="1" t="str">
        <f>"環境生物與漁業科學學系"</f>
        <v>環境生物與漁業科學學系</v>
      </c>
      <c r="B8" s="1" t="str">
        <f>"01131013"</f>
        <v>01131013</v>
      </c>
      <c r="C8" s="1" t="str">
        <f>"游子嫻"</f>
        <v>游子嫻</v>
      </c>
      <c r="Q8" s="1">
        <v>0</v>
      </c>
    </row>
    <row r="9" spans="1:17" x14ac:dyDescent="0.25">
      <c r="A9" s="1" t="str">
        <f>"環境生物與漁業科學學系"</f>
        <v>環境生物與漁業科學學系</v>
      </c>
      <c r="B9" s="1" t="str">
        <f>"01131024"</f>
        <v>01131024</v>
      </c>
      <c r="C9" s="1" t="str">
        <f>"許詩誼"</f>
        <v>許詩誼</v>
      </c>
      <c r="Q9" s="1">
        <v>0</v>
      </c>
    </row>
    <row r="10" spans="1:17" x14ac:dyDescent="0.25">
      <c r="A10" s="1" t="str">
        <f t="shared" ref="A10:A16" si="0">"海洋環境資訊系"</f>
        <v>海洋環境資訊系</v>
      </c>
      <c r="B10" s="1" t="str">
        <f>"01181001"</f>
        <v>01181001</v>
      </c>
      <c r="C10" s="1" t="str">
        <f>"陳廣棟"</f>
        <v>陳廣棟</v>
      </c>
      <c r="Q10" s="1">
        <v>0</v>
      </c>
    </row>
    <row r="11" spans="1:17" x14ac:dyDescent="0.25">
      <c r="A11" s="1" t="str">
        <f t="shared" si="0"/>
        <v>海洋環境資訊系</v>
      </c>
      <c r="B11" s="1" t="str">
        <f>"01181002"</f>
        <v>01181002</v>
      </c>
      <c r="C11" s="1" t="str">
        <f>"史以琳"</f>
        <v>史以琳</v>
      </c>
      <c r="Q11" s="1">
        <v>0</v>
      </c>
    </row>
    <row r="12" spans="1:17" x14ac:dyDescent="0.25">
      <c r="A12" s="1" t="str">
        <f t="shared" si="0"/>
        <v>海洋環境資訊系</v>
      </c>
      <c r="B12" s="1" t="str">
        <f>"01181013"</f>
        <v>01181013</v>
      </c>
      <c r="C12" s="1" t="str">
        <f>"劉亭然"</f>
        <v>劉亭然</v>
      </c>
      <c r="Q12" s="1">
        <v>0</v>
      </c>
    </row>
    <row r="13" spans="1:17" x14ac:dyDescent="0.25">
      <c r="A13" s="1" t="str">
        <f t="shared" si="0"/>
        <v>海洋環境資訊系</v>
      </c>
      <c r="B13" s="1" t="str">
        <f>"01181034"</f>
        <v>01181034</v>
      </c>
      <c r="C13" s="1" t="str">
        <f>"陳薪羽"</f>
        <v>陳薪羽</v>
      </c>
      <c r="Q13" s="1">
        <v>0</v>
      </c>
    </row>
    <row r="14" spans="1:17" x14ac:dyDescent="0.25">
      <c r="A14" s="1" t="str">
        <f t="shared" si="0"/>
        <v>海洋環境資訊系</v>
      </c>
      <c r="B14" s="1" t="str">
        <f>"01181035"</f>
        <v>01181035</v>
      </c>
      <c r="C14" s="1" t="str">
        <f>"楊舒涵"</f>
        <v>楊舒涵</v>
      </c>
      <c r="Q14" s="1">
        <v>0</v>
      </c>
    </row>
    <row r="15" spans="1:17" x14ac:dyDescent="0.25">
      <c r="A15" s="1" t="str">
        <f t="shared" si="0"/>
        <v>海洋環境資訊系</v>
      </c>
      <c r="B15" s="1" t="str">
        <f>"01181041"</f>
        <v>01181041</v>
      </c>
      <c r="C15" s="1" t="str">
        <f>"湯宥誼"</f>
        <v>湯宥誼</v>
      </c>
      <c r="Q15" s="1">
        <v>0</v>
      </c>
    </row>
    <row r="16" spans="1:17" x14ac:dyDescent="0.25">
      <c r="A16" s="1" t="str">
        <f t="shared" si="0"/>
        <v>海洋環境資訊系</v>
      </c>
      <c r="B16" s="1" t="str">
        <f>"01181203"</f>
        <v>01181203</v>
      </c>
      <c r="C16" s="1" t="str">
        <f>"吳承儒"</f>
        <v>吳承儒</v>
      </c>
      <c r="Q16" s="1">
        <v>0</v>
      </c>
    </row>
    <row r="17" spans="1:17" x14ac:dyDescent="0.25">
      <c r="A17" s="1" t="str">
        <f>"環境生物與漁業科學學系"</f>
        <v>環境生物與漁業科學學系</v>
      </c>
      <c r="B17" s="1" t="str">
        <f>"01231005"</f>
        <v>01231005</v>
      </c>
      <c r="C17" s="1" t="str">
        <f>"蘇以綸"</f>
        <v>蘇以綸</v>
      </c>
      <c r="I17" s="1" t="s">
        <v>17</v>
      </c>
      <c r="L17" s="1" t="s">
        <v>17</v>
      </c>
      <c r="P17" s="1" t="s">
        <v>17</v>
      </c>
      <c r="Q17" s="1">
        <v>3</v>
      </c>
    </row>
    <row r="18" spans="1:17" x14ac:dyDescent="0.25">
      <c r="A18" s="1" t="str">
        <f>"環境生物與漁業科學學系"</f>
        <v>環境生物與漁業科學學系</v>
      </c>
      <c r="B18" s="1" t="str">
        <f>"01231203"</f>
        <v>01231203</v>
      </c>
      <c r="C18" s="1" t="str">
        <f>"孫怡芳"</f>
        <v>孫怡芳</v>
      </c>
      <c r="Q18" s="1">
        <v>0</v>
      </c>
    </row>
    <row r="19" spans="1:17" x14ac:dyDescent="0.25">
      <c r="A19" s="1" t="str">
        <f>"環境生物與漁業科學學系"</f>
        <v>環境生物與漁業科學學系</v>
      </c>
      <c r="B19" s="1" t="str">
        <f>"01231207"</f>
        <v>01231207</v>
      </c>
      <c r="C19" s="1" t="str">
        <f>"吳冠緯"</f>
        <v>吳冠緯</v>
      </c>
      <c r="Q19" s="1">
        <v>0</v>
      </c>
    </row>
    <row r="20" spans="1:17" x14ac:dyDescent="0.25">
      <c r="A20" s="1" t="str">
        <f>"環境生物與漁業科學學系"</f>
        <v>環境生物與漁業科學學系</v>
      </c>
      <c r="B20" s="1" t="str">
        <f>"01231301"</f>
        <v>01231301</v>
      </c>
      <c r="C20" s="1" t="str">
        <f>"林侑德"</f>
        <v>林侑德</v>
      </c>
      <c r="Q20" s="1">
        <v>0</v>
      </c>
    </row>
    <row r="21" spans="1:17" x14ac:dyDescent="0.25">
      <c r="A21" s="1" t="str">
        <f>"環境生物與漁業科學學系"</f>
        <v>環境生物與漁業科學學系</v>
      </c>
      <c r="B21" s="1" t="str">
        <f>"01231303"</f>
        <v>01231303</v>
      </c>
      <c r="C21" s="1" t="str">
        <f>"謝易勳"</f>
        <v>謝易勳</v>
      </c>
      <c r="Q21" s="1">
        <v>0</v>
      </c>
    </row>
    <row r="22" spans="1:17" x14ac:dyDescent="0.25">
      <c r="A22" s="1" t="str">
        <f t="shared" ref="A22:A27" si="1">"海洋環境資訊系"</f>
        <v>海洋環境資訊系</v>
      </c>
      <c r="B22" s="1" t="str">
        <f>"01281006"</f>
        <v>01281006</v>
      </c>
      <c r="C22" s="1" t="str">
        <f>"莊庭邦"</f>
        <v>莊庭邦</v>
      </c>
      <c r="Q22" s="1">
        <v>0</v>
      </c>
    </row>
    <row r="23" spans="1:17" x14ac:dyDescent="0.25">
      <c r="A23" s="1" t="str">
        <f t="shared" si="1"/>
        <v>海洋環境資訊系</v>
      </c>
      <c r="B23" s="1" t="str">
        <f>"01281007"</f>
        <v>01281007</v>
      </c>
      <c r="C23" s="1" t="str">
        <f>"陳劭晅"</f>
        <v>陳劭晅</v>
      </c>
      <c r="Q23" s="1">
        <v>0</v>
      </c>
    </row>
    <row r="24" spans="1:17" x14ac:dyDescent="0.25">
      <c r="A24" s="1" t="str">
        <f t="shared" si="1"/>
        <v>海洋環境資訊系</v>
      </c>
      <c r="B24" s="1" t="str">
        <f>"01281010"</f>
        <v>01281010</v>
      </c>
      <c r="C24" s="1" t="str">
        <f>"李翰勳"</f>
        <v>李翰勳</v>
      </c>
      <c r="Q24" s="1">
        <v>0</v>
      </c>
    </row>
    <row r="25" spans="1:17" x14ac:dyDescent="0.25">
      <c r="A25" s="1" t="str">
        <f t="shared" si="1"/>
        <v>海洋環境資訊系</v>
      </c>
      <c r="B25" s="1" t="str">
        <f>"01281021"</f>
        <v>01281021</v>
      </c>
      <c r="C25" s="1" t="str">
        <f>"柯沛承"</f>
        <v>柯沛承</v>
      </c>
      <c r="Q25" s="1">
        <v>0</v>
      </c>
    </row>
    <row r="26" spans="1:17" x14ac:dyDescent="0.25">
      <c r="A26" s="1" t="str">
        <f t="shared" si="1"/>
        <v>海洋環境資訊系</v>
      </c>
      <c r="B26" s="1" t="str">
        <f>"01281028"</f>
        <v>01281028</v>
      </c>
      <c r="C26" s="1" t="str">
        <f>"蕭羽庭"</f>
        <v>蕭羽庭</v>
      </c>
      <c r="Q26" s="1">
        <v>0</v>
      </c>
    </row>
    <row r="27" spans="1:17" x14ac:dyDescent="0.25">
      <c r="A27" s="1" t="str">
        <f t="shared" si="1"/>
        <v>海洋環境資訊系</v>
      </c>
      <c r="B27" s="1" t="str">
        <f>"01281039"</f>
        <v>01281039</v>
      </c>
      <c r="C27" s="1" t="str">
        <f>"王詠瑭"</f>
        <v>王詠瑭</v>
      </c>
      <c r="Q27" s="1">
        <v>0</v>
      </c>
    </row>
    <row r="28" spans="1:17" x14ac:dyDescent="0.25">
      <c r="A28" s="1" t="str">
        <f t="shared" ref="A28:A47" si="2">"環境生物與漁業科學學系"</f>
        <v>環境生物與漁業科學學系</v>
      </c>
      <c r="B28" s="1" t="str">
        <f>"01331001"</f>
        <v>01331001</v>
      </c>
      <c r="C28" s="1" t="str">
        <f>"林昱愷"</f>
        <v>林昱愷</v>
      </c>
      <c r="Q28" s="1">
        <v>0</v>
      </c>
    </row>
    <row r="29" spans="1:17" x14ac:dyDescent="0.25">
      <c r="A29" s="1" t="str">
        <f t="shared" si="2"/>
        <v>環境生物與漁業科學學系</v>
      </c>
      <c r="B29" s="1" t="str">
        <f>"01331004"</f>
        <v>01331004</v>
      </c>
      <c r="C29" s="1" t="str">
        <f>"林宗廷"</f>
        <v>林宗廷</v>
      </c>
      <c r="Q29" s="1">
        <v>0</v>
      </c>
    </row>
    <row r="30" spans="1:17" x14ac:dyDescent="0.25">
      <c r="A30" s="1" t="str">
        <f t="shared" si="2"/>
        <v>環境生物與漁業科學學系</v>
      </c>
      <c r="B30" s="1" t="str">
        <f>"01331005"</f>
        <v>01331005</v>
      </c>
      <c r="C30" s="1" t="str">
        <f>"何育鋒"</f>
        <v>何育鋒</v>
      </c>
      <c r="Q30" s="1">
        <v>0</v>
      </c>
    </row>
    <row r="31" spans="1:17" x14ac:dyDescent="0.25">
      <c r="A31" s="1" t="str">
        <f t="shared" si="2"/>
        <v>環境生物與漁業科學學系</v>
      </c>
      <c r="B31" s="1" t="str">
        <f>"01331006"</f>
        <v>01331006</v>
      </c>
      <c r="C31" s="1" t="str">
        <f>"黃俊齊"</f>
        <v>黃俊齊</v>
      </c>
      <c r="Q31" s="1">
        <v>0</v>
      </c>
    </row>
    <row r="32" spans="1:17" x14ac:dyDescent="0.25">
      <c r="A32" s="1" t="str">
        <f t="shared" si="2"/>
        <v>環境生物與漁業科學學系</v>
      </c>
      <c r="B32" s="1" t="str">
        <f>"01331007"</f>
        <v>01331007</v>
      </c>
      <c r="C32" s="1" t="str">
        <f>"林孟蓁"</f>
        <v>林孟蓁</v>
      </c>
      <c r="I32" s="1" t="s">
        <v>17</v>
      </c>
      <c r="L32" s="1" t="s">
        <v>17</v>
      </c>
      <c r="O32" s="1" t="s">
        <v>17</v>
      </c>
      <c r="Q32" s="1">
        <v>3</v>
      </c>
    </row>
    <row r="33" spans="1:17" x14ac:dyDescent="0.25">
      <c r="A33" s="1" t="str">
        <f t="shared" si="2"/>
        <v>環境生物與漁業科學學系</v>
      </c>
      <c r="B33" s="1" t="str">
        <f>"01331008"</f>
        <v>01331008</v>
      </c>
      <c r="C33" s="1" t="str">
        <f>"張凱傑"</f>
        <v>張凱傑</v>
      </c>
      <c r="L33" s="1" t="s">
        <v>17</v>
      </c>
      <c r="Q33" s="1">
        <v>1</v>
      </c>
    </row>
    <row r="34" spans="1:17" x14ac:dyDescent="0.25">
      <c r="A34" s="1" t="str">
        <f t="shared" si="2"/>
        <v>環境生物與漁業科學學系</v>
      </c>
      <c r="B34" s="1" t="str">
        <f>"01331009"</f>
        <v>01331009</v>
      </c>
      <c r="C34" s="1" t="str">
        <f>"陳建綸"</f>
        <v>陳建綸</v>
      </c>
      <c r="Q34" s="1">
        <v>0</v>
      </c>
    </row>
    <row r="35" spans="1:17" x14ac:dyDescent="0.25">
      <c r="A35" s="1" t="str">
        <f t="shared" si="2"/>
        <v>環境生物與漁業科學學系</v>
      </c>
      <c r="B35" s="1" t="str">
        <f>"01331010"</f>
        <v>01331010</v>
      </c>
      <c r="C35" s="1" t="str">
        <f>"陳翊安"</f>
        <v>陳翊安</v>
      </c>
      <c r="Q35" s="1">
        <v>0</v>
      </c>
    </row>
    <row r="36" spans="1:17" x14ac:dyDescent="0.25">
      <c r="A36" s="1" t="str">
        <f t="shared" si="2"/>
        <v>環境生物與漁業科學學系</v>
      </c>
      <c r="B36" s="1" t="str">
        <f>"01331011"</f>
        <v>01331011</v>
      </c>
      <c r="C36" s="1" t="str">
        <f>"陳思云"</f>
        <v>陳思云</v>
      </c>
      <c r="Q36" s="1">
        <v>0</v>
      </c>
    </row>
    <row r="37" spans="1:17" x14ac:dyDescent="0.25">
      <c r="A37" s="1" t="str">
        <f t="shared" si="2"/>
        <v>環境生物與漁業科學學系</v>
      </c>
      <c r="B37" s="1" t="str">
        <f>"01331012"</f>
        <v>01331012</v>
      </c>
      <c r="C37" s="1" t="str">
        <f>"莊凱翔"</f>
        <v>莊凱翔</v>
      </c>
      <c r="Q37" s="1">
        <v>0</v>
      </c>
    </row>
    <row r="38" spans="1:17" x14ac:dyDescent="0.25">
      <c r="A38" s="1" t="str">
        <f t="shared" si="2"/>
        <v>環境生物與漁業科學學系</v>
      </c>
      <c r="B38" s="1" t="str">
        <f>"01331013"</f>
        <v>01331013</v>
      </c>
      <c r="C38" s="1" t="str">
        <f>"宋承駿"</f>
        <v>宋承駿</v>
      </c>
      <c r="Q38" s="1">
        <v>0</v>
      </c>
    </row>
    <row r="39" spans="1:17" x14ac:dyDescent="0.25">
      <c r="A39" s="1" t="str">
        <f t="shared" si="2"/>
        <v>環境生物與漁業科學學系</v>
      </c>
      <c r="B39" s="1" t="str">
        <f>"01331014"</f>
        <v>01331014</v>
      </c>
      <c r="C39" s="1" t="str">
        <f>"陳約翰"</f>
        <v>陳約翰</v>
      </c>
      <c r="Q39" s="1">
        <v>0</v>
      </c>
    </row>
    <row r="40" spans="1:17" x14ac:dyDescent="0.25">
      <c r="A40" s="1" t="str">
        <f t="shared" si="2"/>
        <v>環境生物與漁業科學學系</v>
      </c>
      <c r="B40" s="1" t="str">
        <f>"01331015"</f>
        <v>01331015</v>
      </c>
      <c r="C40" s="1" t="str">
        <f>"林秀穎"</f>
        <v>林秀穎</v>
      </c>
      <c r="L40" s="1" t="s">
        <v>17</v>
      </c>
      <c r="O40" s="1" t="s">
        <v>17</v>
      </c>
      <c r="Q40" s="1">
        <v>2</v>
      </c>
    </row>
    <row r="41" spans="1:17" x14ac:dyDescent="0.25">
      <c r="A41" s="1" t="str">
        <f t="shared" si="2"/>
        <v>環境生物與漁業科學學系</v>
      </c>
      <c r="B41" s="1" t="str">
        <f>"01331016"</f>
        <v>01331016</v>
      </c>
      <c r="C41" s="1" t="str">
        <f>"黃主興"</f>
        <v>黃主興</v>
      </c>
      <c r="O41" s="1" t="s">
        <v>17</v>
      </c>
      <c r="Q41" s="1">
        <v>1</v>
      </c>
    </row>
    <row r="42" spans="1:17" x14ac:dyDescent="0.25">
      <c r="A42" s="1" t="str">
        <f t="shared" si="2"/>
        <v>環境生物與漁業科學學系</v>
      </c>
      <c r="B42" s="1" t="str">
        <f>"01331017"</f>
        <v>01331017</v>
      </c>
      <c r="C42" s="1" t="str">
        <f>"謝妍庭"</f>
        <v>謝妍庭</v>
      </c>
      <c r="E42" s="1" t="s">
        <v>17</v>
      </c>
      <c r="H42" s="1" t="s">
        <v>17</v>
      </c>
      <c r="K42" s="1" t="s">
        <v>17</v>
      </c>
      <c r="N42" s="1" t="s">
        <v>17</v>
      </c>
      <c r="Q42" s="1">
        <v>4</v>
      </c>
    </row>
    <row r="43" spans="1:17" x14ac:dyDescent="0.25">
      <c r="A43" s="1" t="str">
        <f t="shared" si="2"/>
        <v>環境生物與漁業科學學系</v>
      </c>
      <c r="B43" s="1" t="str">
        <f>"01331018"</f>
        <v>01331018</v>
      </c>
      <c r="C43" s="1" t="str">
        <f>"陳穎達"</f>
        <v>陳穎達</v>
      </c>
      <c r="L43" s="1" t="s">
        <v>17</v>
      </c>
      <c r="O43" s="1" t="s">
        <v>17</v>
      </c>
      <c r="Q43" s="1">
        <v>2</v>
      </c>
    </row>
    <row r="44" spans="1:17" x14ac:dyDescent="0.25">
      <c r="A44" s="1" t="str">
        <f t="shared" si="2"/>
        <v>環境生物與漁業科學學系</v>
      </c>
      <c r="B44" s="1" t="str">
        <f>"01331019"</f>
        <v>01331019</v>
      </c>
      <c r="C44" s="1" t="str">
        <f>"許庭毓"</f>
        <v>許庭毓</v>
      </c>
      <c r="O44" s="1" t="s">
        <v>17</v>
      </c>
      <c r="Q44" s="1">
        <v>1</v>
      </c>
    </row>
    <row r="45" spans="1:17" x14ac:dyDescent="0.25">
      <c r="A45" s="1" t="str">
        <f t="shared" si="2"/>
        <v>環境生物與漁業科學學系</v>
      </c>
      <c r="B45" s="1" t="str">
        <f>"01331020"</f>
        <v>01331020</v>
      </c>
      <c r="C45" s="1" t="str">
        <f>"黃韋綸"</f>
        <v>黃韋綸</v>
      </c>
      <c r="Q45" s="1">
        <v>0</v>
      </c>
    </row>
    <row r="46" spans="1:17" x14ac:dyDescent="0.25">
      <c r="A46" s="1" t="str">
        <f t="shared" si="2"/>
        <v>環境生物與漁業科學學系</v>
      </c>
      <c r="B46" s="1" t="str">
        <f>"01331021"</f>
        <v>01331021</v>
      </c>
      <c r="C46" s="1" t="str">
        <f>"林育德"</f>
        <v>林育德</v>
      </c>
      <c r="Q46" s="1">
        <v>0</v>
      </c>
    </row>
    <row r="47" spans="1:17" x14ac:dyDescent="0.25">
      <c r="A47" s="1" t="str">
        <f t="shared" si="2"/>
        <v>環境生物與漁業科學學系</v>
      </c>
      <c r="B47" s="1" t="str">
        <f>"01331022"</f>
        <v>01331022</v>
      </c>
      <c r="C47" s="1" t="str">
        <f>"呂祐婷"</f>
        <v>呂祐婷</v>
      </c>
      <c r="H47" s="1" t="s">
        <v>17</v>
      </c>
      <c r="K47" s="1" t="s">
        <v>17</v>
      </c>
      <c r="N47" s="1" t="s">
        <v>17</v>
      </c>
      <c r="Q47" s="1">
        <v>3</v>
      </c>
    </row>
    <row r="48" spans="1:17" x14ac:dyDescent="0.25">
      <c r="A48" s="2" t="s">
        <v>0</v>
      </c>
      <c r="B48" s="2" t="s">
        <v>1</v>
      </c>
      <c r="C48" s="2" t="s">
        <v>2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3" t="s">
        <v>14</v>
      </c>
      <c r="O48" s="3" t="s">
        <v>15</v>
      </c>
      <c r="P48" s="3" t="s">
        <v>16</v>
      </c>
      <c r="Q48" s="4" t="s">
        <v>3</v>
      </c>
    </row>
    <row r="49" spans="1:17" x14ac:dyDescent="0.25">
      <c r="A49" s="1" t="str">
        <f t="shared" ref="A49:A76" si="3">"環境生物與漁業科學學系"</f>
        <v>環境生物與漁業科學學系</v>
      </c>
      <c r="B49" s="1" t="str">
        <f>"01331023"</f>
        <v>01331023</v>
      </c>
      <c r="C49" s="1" t="str">
        <f>"陳宗毅"</f>
        <v>陳宗毅</v>
      </c>
      <c r="Q49" s="1">
        <v>0</v>
      </c>
    </row>
    <row r="50" spans="1:17" x14ac:dyDescent="0.25">
      <c r="A50" s="1" t="str">
        <f t="shared" si="3"/>
        <v>環境生物與漁業科學學系</v>
      </c>
      <c r="B50" s="1" t="str">
        <f>"01331026"</f>
        <v>01331026</v>
      </c>
      <c r="C50" s="1" t="str">
        <f>"柯易辰"</f>
        <v>柯易辰</v>
      </c>
      <c r="E50" s="1" t="s">
        <v>17</v>
      </c>
      <c r="H50" s="1" t="s">
        <v>17</v>
      </c>
      <c r="K50" s="1" t="s">
        <v>17</v>
      </c>
      <c r="N50" s="1" t="s">
        <v>17</v>
      </c>
      <c r="Q50" s="1">
        <v>4</v>
      </c>
    </row>
    <row r="51" spans="1:17" x14ac:dyDescent="0.25">
      <c r="A51" s="1" t="str">
        <f t="shared" si="3"/>
        <v>環境生物與漁業科學學系</v>
      </c>
      <c r="B51" s="1" t="str">
        <f>"01331027"</f>
        <v>01331027</v>
      </c>
      <c r="C51" s="1" t="str">
        <f>"劉家佑"</f>
        <v>劉家佑</v>
      </c>
      <c r="Q51" s="1">
        <v>0</v>
      </c>
    </row>
    <row r="52" spans="1:17" x14ac:dyDescent="0.25">
      <c r="A52" s="1" t="str">
        <f t="shared" si="3"/>
        <v>環境生物與漁業科學學系</v>
      </c>
      <c r="B52" s="1" t="str">
        <f>"01331028"</f>
        <v>01331028</v>
      </c>
      <c r="C52" s="1" t="str">
        <f>"陳彥妤"</f>
        <v>陳彥妤</v>
      </c>
      <c r="E52" s="1" t="s">
        <v>17</v>
      </c>
      <c r="H52" s="1" t="s">
        <v>17</v>
      </c>
      <c r="K52" s="1" t="s">
        <v>17</v>
      </c>
      <c r="N52" s="1" t="s">
        <v>17</v>
      </c>
      <c r="Q52" s="1">
        <v>4</v>
      </c>
    </row>
    <row r="53" spans="1:17" x14ac:dyDescent="0.25">
      <c r="A53" s="1" t="str">
        <f t="shared" si="3"/>
        <v>環境生物與漁業科學學系</v>
      </c>
      <c r="B53" s="1" t="str">
        <f>"01331029"</f>
        <v>01331029</v>
      </c>
      <c r="C53" s="1" t="str">
        <f>"曹崴翔"</f>
        <v>曹崴翔</v>
      </c>
      <c r="Q53" s="1">
        <v>0</v>
      </c>
    </row>
    <row r="54" spans="1:17" x14ac:dyDescent="0.25">
      <c r="A54" s="1" t="str">
        <f t="shared" si="3"/>
        <v>環境生物與漁業科學學系</v>
      </c>
      <c r="B54" s="1" t="str">
        <f>"01331030"</f>
        <v>01331030</v>
      </c>
      <c r="C54" s="1" t="str">
        <f>"郝世朋"</f>
        <v>郝世朋</v>
      </c>
      <c r="E54" s="1" t="s">
        <v>17</v>
      </c>
      <c r="H54" s="1" t="s">
        <v>17</v>
      </c>
      <c r="K54" s="1" t="s">
        <v>17</v>
      </c>
      <c r="N54" s="1" t="s">
        <v>17</v>
      </c>
      <c r="Q54" s="1">
        <v>4</v>
      </c>
    </row>
    <row r="55" spans="1:17" x14ac:dyDescent="0.25">
      <c r="A55" s="1" t="str">
        <f t="shared" si="3"/>
        <v>環境生物與漁業科學學系</v>
      </c>
      <c r="B55" s="1" t="str">
        <f>"01331031"</f>
        <v>01331031</v>
      </c>
      <c r="C55" s="1" t="str">
        <f>"陳志雍"</f>
        <v>陳志雍</v>
      </c>
      <c r="Q55" s="1">
        <v>0</v>
      </c>
    </row>
    <row r="56" spans="1:17" x14ac:dyDescent="0.25">
      <c r="A56" s="1" t="str">
        <f t="shared" si="3"/>
        <v>環境生物與漁業科學學系</v>
      </c>
      <c r="B56" s="1" t="str">
        <f>"01331032"</f>
        <v>01331032</v>
      </c>
      <c r="C56" s="1" t="str">
        <f>"曾彥鈞"</f>
        <v>曾彥鈞</v>
      </c>
      <c r="Q56" s="1">
        <v>0</v>
      </c>
    </row>
    <row r="57" spans="1:17" x14ac:dyDescent="0.25">
      <c r="A57" s="1" t="str">
        <f t="shared" si="3"/>
        <v>環境生物與漁業科學學系</v>
      </c>
      <c r="B57" s="1" t="str">
        <f>"01331033"</f>
        <v>01331033</v>
      </c>
      <c r="C57" s="1" t="str">
        <f>"郭陵潔"</f>
        <v>郭陵潔</v>
      </c>
      <c r="E57" s="1" t="s">
        <v>17</v>
      </c>
      <c r="K57" s="1" t="s">
        <v>17</v>
      </c>
      <c r="N57" s="1" t="s">
        <v>17</v>
      </c>
      <c r="Q57" s="1">
        <v>2</v>
      </c>
    </row>
    <row r="58" spans="1:17" x14ac:dyDescent="0.25">
      <c r="A58" s="1" t="str">
        <f t="shared" si="3"/>
        <v>環境生物與漁業科學學系</v>
      </c>
      <c r="B58" s="1" t="str">
        <f>"01331034"</f>
        <v>01331034</v>
      </c>
      <c r="C58" s="1" t="str">
        <f>"陸昱亨"</f>
        <v>陸昱亨</v>
      </c>
      <c r="I58" s="1" t="s">
        <v>17</v>
      </c>
      <c r="L58" s="1" t="s">
        <v>17</v>
      </c>
      <c r="O58" s="1" t="s">
        <v>17</v>
      </c>
      <c r="Q58" s="1">
        <v>3</v>
      </c>
    </row>
    <row r="59" spans="1:17" x14ac:dyDescent="0.25">
      <c r="A59" s="1" t="str">
        <f t="shared" si="3"/>
        <v>環境生物與漁業科學學系</v>
      </c>
      <c r="B59" s="1" t="str">
        <f>"01331035"</f>
        <v>01331035</v>
      </c>
      <c r="C59" s="1" t="str">
        <f>"張宇樂"</f>
        <v>張宇樂</v>
      </c>
      <c r="Q59" s="1">
        <v>0</v>
      </c>
    </row>
    <row r="60" spans="1:17" x14ac:dyDescent="0.25">
      <c r="A60" s="1" t="str">
        <f t="shared" si="3"/>
        <v>環境生物與漁業科學學系</v>
      </c>
      <c r="B60" s="1" t="str">
        <f>"01331036"</f>
        <v>01331036</v>
      </c>
      <c r="C60" s="1" t="str">
        <f>"林金滿"</f>
        <v>林金滿</v>
      </c>
      <c r="I60" s="1" t="s">
        <v>17</v>
      </c>
      <c r="L60" s="1" t="s">
        <v>17</v>
      </c>
      <c r="O60" s="1" t="s">
        <v>17</v>
      </c>
      <c r="Q60" s="1">
        <v>3</v>
      </c>
    </row>
    <row r="61" spans="1:17" x14ac:dyDescent="0.25">
      <c r="A61" s="1" t="str">
        <f t="shared" si="3"/>
        <v>環境生物與漁業科學學系</v>
      </c>
      <c r="B61" s="1" t="str">
        <f>"01331037"</f>
        <v>01331037</v>
      </c>
      <c r="C61" s="1" t="str">
        <f>"林韋翔"</f>
        <v>林韋翔</v>
      </c>
      <c r="Q61" s="1">
        <v>0</v>
      </c>
    </row>
    <row r="62" spans="1:17" x14ac:dyDescent="0.25">
      <c r="A62" s="1" t="str">
        <f t="shared" si="3"/>
        <v>環境生物與漁業科學學系</v>
      </c>
      <c r="B62" s="1" t="str">
        <f>"01331038"</f>
        <v>01331038</v>
      </c>
      <c r="C62" s="1" t="str">
        <f>"林彥均"</f>
        <v>林彥均</v>
      </c>
      <c r="E62" s="1" t="s">
        <v>17</v>
      </c>
      <c r="K62" s="1" t="s">
        <v>17</v>
      </c>
      <c r="N62" s="1" t="s">
        <v>17</v>
      </c>
      <c r="Q62" s="1">
        <v>3</v>
      </c>
    </row>
    <row r="63" spans="1:17" x14ac:dyDescent="0.25">
      <c r="A63" s="1" t="str">
        <f t="shared" si="3"/>
        <v>環境生物與漁業科學學系</v>
      </c>
      <c r="B63" s="1" t="str">
        <f>"01331040"</f>
        <v>01331040</v>
      </c>
      <c r="C63" s="1" t="str">
        <f>"鄧博謙"</f>
        <v>鄧博謙</v>
      </c>
      <c r="Q63" s="1">
        <v>0</v>
      </c>
    </row>
    <row r="64" spans="1:17" x14ac:dyDescent="0.25">
      <c r="A64" s="1" t="str">
        <f t="shared" si="3"/>
        <v>環境生物與漁業科學學系</v>
      </c>
      <c r="B64" s="1" t="str">
        <f>"01331042"</f>
        <v>01331042</v>
      </c>
      <c r="C64" s="1" t="str">
        <f>"王光源"</f>
        <v>王光源</v>
      </c>
      <c r="Q64" s="1">
        <v>0</v>
      </c>
    </row>
    <row r="65" spans="1:17" x14ac:dyDescent="0.25">
      <c r="A65" s="1" t="str">
        <f t="shared" si="3"/>
        <v>環境生物與漁業科學學系</v>
      </c>
      <c r="B65" s="1" t="str">
        <f>"01331043"</f>
        <v>01331043</v>
      </c>
      <c r="C65" s="1" t="str">
        <f>"曾騰毅"</f>
        <v>曾騰毅</v>
      </c>
      <c r="Q65" s="1">
        <v>0</v>
      </c>
    </row>
    <row r="66" spans="1:17" x14ac:dyDescent="0.25">
      <c r="A66" s="1" t="str">
        <f t="shared" si="3"/>
        <v>環境生物與漁業科學學系</v>
      </c>
      <c r="B66" s="1" t="str">
        <f>"01331044"</f>
        <v>01331044</v>
      </c>
      <c r="C66" s="1" t="str">
        <f>"周子勻"</f>
        <v>周子勻</v>
      </c>
      <c r="Q66" s="1">
        <v>0</v>
      </c>
    </row>
    <row r="67" spans="1:17" x14ac:dyDescent="0.25">
      <c r="A67" s="1" t="str">
        <f t="shared" si="3"/>
        <v>環境生物與漁業科學學系</v>
      </c>
      <c r="B67" s="1" t="str">
        <f>"01331045"</f>
        <v>01331045</v>
      </c>
      <c r="C67" s="1" t="str">
        <f>"邱歆甯"</f>
        <v>邱歆甯</v>
      </c>
      <c r="Q67" s="1">
        <v>0</v>
      </c>
    </row>
    <row r="68" spans="1:17" x14ac:dyDescent="0.25">
      <c r="A68" s="1" t="str">
        <f t="shared" si="3"/>
        <v>環境生物與漁業科學學系</v>
      </c>
      <c r="B68" s="1" t="str">
        <f>"01331046"</f>
        <v>01331046</v>
      </c>
      <c r="C68" s="1" t="str">
        <f>"余彥伯"</f>
        <v>余彥伯</v>
      </c>
      <c r="Q68" s="1">
        <v>0</v>
      </c>
    </row>
    <row r="69" spans="1:17" x14ac:dyDescent="0.25">
      <c r="A69" s="1" t="str">
        <f t="shared" si="3"/>
        <v>環境生物與漁業科學學系</v>
      </c>
      <c r="B69" s="1" t="str">
        <f>"01331047"</f>
        <v>01331047</v>
      </c>
      <c r="C69" s="1" t="str">
        <f>"林語萱"</f>
        <v>林語萱</v>
      </c>
      <c r="E69" s="1" t="s">
        <v>17</v>
      </c>
      <c r="H69" s="1" t="s">
        <v>17</v>
      </c>
      <c r="K69" s="1" t="s">
        <v>17</v>
      </c>
      <c r="N69" s="1" t="s">
        <v>17</v>
      </c>
      <c r="Q69" s="1">
        <v>4</v>
      </c>
    </row>
    <row r="70" spans="1:17" x14ac:dyDescent="0.25">
      <c r="A70" s="1" t="str">
        <f t="shared" si="3"/>
        <v>環境生物與漁業科學學系</v>
      </c>
      <c r="B70" s="1" t="str">
        <f>"01331050"</f>
        <v>01331050</v>
      </c>
      <c r="C70" s="1" t="str">
        <f>"陳凱風"</f>
        <v>陳凱風</v>
      </c>
      <c r="Q70" s="1">
        <v>0</v>
      </c>
    </row>
    <row r="71" spans="1:17" x14ac:dyDescent="0.25">
      <c r="A71" s="1" t="str">
        <f t="shared" si="3"/>
        <v>環境生物與漁業科學學系</v>
      </c>
      <c r="B71" s="1" t="str">
        <f>"01331051"</f>
        <v>01331051</v>
      </c>
      <c r="C71" s="1" t="str">
        <f>"蔡政霖"</f>
        <v>蔡政霖</v>
      </c>
      <c r="Q71" s="1">
        <v>0</v>
      </c>
    </row>
    <row r="72" spans="1:17" x14ac:dyDescent="0.25">
      <c r="A72" s="1" t="str">
        <f t="shared" si="3"/>
        <v>環境生物與漁業科學學系</v>
      </c>
      <c r="B72" s="1" t="str">
        <f>"01331052"</f>
        <v>01331052</v>
      </c>
      <c r="C72" s="1" t="str">
        <f>"楊苾慈"</f>
        <v>楊苾慈</v>
      </c>
      <c r="E72" s="1" t="s">
        <v>17</v>
      </c>
      <c r="K72" s="1" t="s">
        <v>17</v>
      </c>
      <c r="Q72" s="1">
        <v>2</v>
      </c>
    </row>
    <row r="73" spans="1:17" x14ac:dyDescent="0.25">
      <c r="A73" s="1" t="str">
        <f t="shared" si="3"/>
        <v>環境生物與漁業科學學系</v>
      </c>
      <c r="B73" s="1" t="str">
        <f>"01331053"</f>
        <v>01331053</v>
      </c>
      <c r="C73" s="1" t="str">
        <f>"許庭豪"</f>
        <v>許庭豪</v>
      </c>
      <c r="Q73" s="1">
        <v>0</v>
      </c>
    </row>
    <row r="74" spans="1:17" x14ac:dyDescent="0.25">
      <c r="A74" s="1" t="str">
        <f t="shared" si="3"/>
        <v>環境生物與漁業科學學系</v>
      </c>
      <c r="B74" s="1" t="str">
        <f>"01331054"</f>
        <v>01331054</v>
      </c>
      <c r="C74" s="1" t="str">
        <f>"丁苡喻"</f>
        <v>丁苡喻</v>
      </c>
      <c r="Q74" s="1">
        <v>0</v>
      </c>
    </row>
    <row r="75" spans="1:17" x14ac:dyDescent="0.25">
      <c r="A75" s="1" t="str">
        <f t="shared" si="3"/>
        <v>環境生物與漁業科學學系</v>
      </c>
      <c r="B75" s="1" t="str">
        <f>"01331055"</f>
        <v>01331055</v>
      </c>
      <c r="C75" s="1" t="str">
        <f>"王宥惟"</f>
        <v>王宥惟</v>
      </c>
      <c r="Q75" s="1">
        <v>0</v>
      </c>
    </row>
    <row r="76" spans="1:17" x14ac:dyDescent="0.25">
      <c r="A76" s="1" t="str">
        <f t="shared" si="3"/>
        <v>環境生物與漁業科學學系</v>
      </c>
      <c r="B76" s="1" t="str">
        <f>"01331056"</f>
        <v>01331056</v>
      </c>
      <c r="C76" s="1" t="str">
        <f>"莫星柔"</f>
        <v>莫星柔</v>
      </c>
      <c r="H76" s="1" t="s">
        <v>17</v>
      </c>
      <c r="N76" s="1" t="s">
        <v>17</v>
      </c>
      <c r="Q76" s="1">
        <v>2</v>
      </c>
    </row>
    <row r="77" spans="1:17" x14ac:dyDescent="0.25">
      <c r="A77" s="1" t="str">
        <f t="shared" ref="A77:A94" si="4">"海洋環境資訊系"</f>
        <v>海洋環境資訊系</v>
      </c>
      <c r="B77" s="1" t="str">
        <f>"01381001"</f>
        <v>01381001</v>
      </c>
      <c r="C77" s="1" t="str">
        <f>"楊晏涵"</f>
        <v>楊晏涵</v>
      </c>
      <c r="E77" s="1" t="s">
        <v>17</v>
      </c>
      <c r="Q77" s="1">
        <v>1</v>
      </c>
    </row>
    <row r="78" spans="1:17" x14ac:dyDescent="0.25">
      <c r="A78" s="1" t="str">
        <f t="shared" si="4"/>
        <v>海洋環境資訊系</v>
      </c>
      <c r="B78" s="1" t="str">
        <f>"01381002"</f>
        <v>01381002</v>
      </c>
      <c r="C78" s="1" t="str">
        <f>"張珈綾"</f>
        <v>張珈綾</v>
      </c>
      <c r="L78" s="1" t="s">
        <v>17</v>
      </c>
      <c r="Q78" s="1">
        <v>2</v>
      </c>
    </row>
    <row r="79" spans="1:17" x14ac:dyDescent="0.25">
      <c r="A79" s="1" t="str">
        <f t="shared" si="4"/>
        <v>海洋環境資訊系</v>
      </c>
      <c r="B79" s="1" t="str">
        <f>"01381003"</f>
        <v>01381003</v>
      </c>
      <c r="C79" s="1" t="str">
        <f>"胡瑋峻"</f>
        <v>胡瑋峻</v>
      </c>
      <c r="Q79" s="1">
        <v>0</v>
      </c>
    </row>
    <row r="80" spans="1:17" x14ac:dyDescent="0.25">
      <c r="A80" s="1" t="str">
        <f t="shared" si="4"/>
        <v>海洋環境資訊系</v>
      </c>
      <c r="B80" s="1" t="str">
        <f>"01381004"</f>
        <v>01381004</v>
      </c>
      <c r="C80" s="1" t="str">
        <f>"葉平暐"</f>
        <v>葉平暐</v>
      </c>
      <c r="Q80" s="1">
        <v>0</v>
      </c>
    </row>
    <row r="81" spans="1:17" x14ac:dyDescent="0.25">
      <c r="A81" s="1" t="str">
        <f t="shared" si="4"/>
        <v>海洋環境資訊系</v>
      </c>
      <c r="B81" s="1" t="str">
        <f>"01381005"</f>
        <v>01381005</v>
      </c>
      <c r="C81" s="1" t="str">
        <f>"徐偉峻"</f>
        <v>徐偉峻</v>
      </c>
      <c r="Q81" s="1">
        <v>0</v>
      </c>
    </row>
    <row r="82" spans="1:17" x14ac:dyDescent="0.25">
      <c r="A82" s="1" t="str">
        <f t="shared" si="4"/>
        <v>海洋環境資訊系</v>
      </c>
      <c r="B82" s="1" t="str">
        <f>"01381006"</f>
        <v>01381006</v>
      </c>
      <c r="C82" s="1" t="str">
        <f>"許城堉"</f>
        <v>許城堉</v>
      </c>
      <c r="Q82" s="1">
        <v>0</v>
      </c>
    </row>
    <row r="83" spans="1:17" x14ac:dyDescent="0.25">
      <c r="A83" s="1" t="str">
        <f t="shared" si="4"/>
        <v>海洋環境資訊系</v>
      </c>
      <c r="B83" s="1" t="str">
        <f>"01381007"</f>
        <v>01381007</v>
      </c>
      <c r="C83" s="1" t="str">
        <f>"林益浩"</f>
        <v>林益浩</v>
      </c>
      <c r="Q83" s="1">
        <v>0</v>
      </c>
    </row>
    <row r="84" spans="1:17" x14ac:dyDescent="0.25">
      <c r="A84" s="1" t="str">
        <f t="shared" si="4"/>
        <v>海洋環境資訊系</v>
      </c>
      <c r="B84" s="1" t="str">
        <f>"01381008"</f>
        <v>01381008</v>
      </c>
      <c r="C84" s="1" t="str">
        <f>"葉家均"</f>
        <v>葉家均</v>
      </c>
      <c r="Q84" s="1">
        <v>0</v>
      </c>
    </row>
    <row r="85" spans="1:17" x14ac:dyDescent="0.25">
      <c r="A85" s="1" t="str">
        <f t="shared" si="4"/>
        <v>海洋環境資訊系</v>
      </c>
      <c r="B85" s="1" t="str">
        <f>"01381009"</f>
        <v>01381009</v>
      </c>
      <c r="C85" s="1" t="str">
        <f>"蔡適禧"</f>
        <v>蔡適禧</v>
      </c>
      <c r="Q85" s="1">
        <v>0</v>
      </c>
    </row>
    <row r="86" spans="1:17" x14ac:dyDescent="0.25">
      <c r="A86" s="1" t="str">
        <f t="shared" si="4"/>
        <v>海洋環境資訊系</v>
      </c>
      <c r="B86" s="1" t="str">
        <f>"01381010"</f>
        <v>01381010</v>
      </c>
      <c r="C86" s="1" t="str">
        <f>"唐英捷"</f>
        <v>唐英捷</v>
      </c>
      <c r="Q86" s="1">
        <v>0</v>
      </c>
    </row>
    <row r="87" spans="1:17" x14ac:dyDescent="0.25">
      <c r="A87" s="1" t="str">
        <f t="shared" si="4"/>
        <v>海洋環境資訊系</v>
      </c>
      <c r="B87" s="1" t="str">
        <f>"01381011"</f>
        <v>01381011</v>
      </c>
      <c r="C87" s="1" t="str">
        <f>"洪伯緯"</f>
        <v>洪伯緯</v>
      </c>
      <c r="Q87" s="1">
        <v>0</v>
      </c>
    </row>
    <row r="88" spans="1:17" x14ac:dyDescent="0.25">
      <c r="A88" s="1" t="str">
        <f t="shared" si="4"/>
        <v>海洋環境資訊系</v>
      </c>
      <c r="B88" s="1" t="str">
        <f>"01381012"</f>
        <v>01381012</v>
      </c>
      <c r="C88" s="1" t="str">
        <f>"余子昊"</f>
        <v>余子昊</v>
      </c>
      <c r="Q88" s="1">
        <v>0</v>
      </c>
    </row>
    <row r="89" spans="1:17" x14ac:dyDescent="0.25">
      <c r="A89" s="1" t="str">
        <f t="shared" si="4"/>
        <v>海洋環境資訊系</v>
      </c>
      <c r="B89" s="1" t="str">
        <f>"01381013"</f>
        <v>01381013</v>
      </c>
      <c r="C89" s="1" t="str">
        <f>"陳韋諭"</f>
        <v>陳韋諭</v>
      </c>
      <c r="Q89" s="1">
        <v>0</v>
      </c>
    </row>
    <row r="90" spans="1:17" x14ac:dyDescent="0.25">
      <c r="A90" s="1" t="str">
        <f t="shared" si="4"/>
        <v>海洋環境資訊系</v>
      </c>
      <c r="B90" s="1" t="str">
        <f>"01381014"</f>
        <v>01381014</v>
      </c>
      <c r="C90" s="1" t="str">
        <f>"蔡紘恩"</f>
        <v>蔡紘恩</v>
      </c>
      <c r="Q90" s="1">
        <v>0</v>
      </c>
    </row>
    <row r="91" spans="1:17" x14ac:dyDescent="0.25">
      <c r="A91" s="1" t="str">
        <f t="shared" si="4"/>
        <v>海洋環境資訊系</v>
      </c>
      <c r="B91" s="1" t="str">
        <f>"01381015"</f>
        <v>01381015</v>
      </c>
      <c r="C91" s="1" t="str">
        <f>"王睿宇"</f>
        <v>王睿宇</v>
      </c>
      <c r="Q91" s="1">
        <v>0</v>
      </c>
    </row>
    <row r="92" spans="1:17" x14ac:dyDescent="0.25">
      <c r="A92" s="1" t="str">
        <f t="shared" si="4"/>
        <v>海洋環境資訊系</v>
      </c>
      <c r="B92" s="1" t="str">
        <f>"01381016"</f>
        <v>01381016</v>
      </c>
      <c r="C92" s="1" t="str">
        <f>"王?婷"</f>
        <v>王?婷</v>
      </c>
      <c r="Q92" s="1">
        <v>0</v>
      </c>
    </row>
    <row r="93" spans="1:17" x14ac:dyDescent="0.25">
      <c r="A93" s="1" t="str">
        <f t="shared" si="4"/>
        <v>海洋環境資訊系</v>
      </c>
      <c r="B93" s="1" t="str">
        <f>"01381017"</f>
        <v>01381017</v>
      </c>
      <c r="C93" s="1" t="str">
        <f>"呂維蓁"</f>
        <v>呂維蓁</v>
      </c>
      <c r="Q93" s="1">
        <v>0</v>
      </c>
    </row>
    <row r="94" spans="1:17" x14ac:dyDescent="0.25">
      <c r="A94" s="1" t="str">
        <f t="shared" si="4"/>
        <v>海洋環境資訊系</v>
      </c>
      <c r="B94" s="1" t="str">
        <f>"01381019"</f>
        <v>01381019</v>
      </c>
      <c r="C94" s="1" t="str">
        <f>"鍾謹宇"</f>
        <v>鍾謹宇</v>
      </c>
      <c r="Q94" s="1">
        <v>0</v>
      </c>
    </row>
    <row r="95" spans="1:17" x14ac:dyDescent="0.25">
      <c r="A95" s="2" t="s">
        <v>0</v>
      </c>
      <c r="B95" s="2" t="s">
        <v>1</v>
      </c>
      <c r="C95" s="2" t="s">
        <v>2</v>
      </c>
      <c r="D95" s="3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3" t="s">
        <v>15</v>
      </c>
      <c r="P95" s="3" t="s">
        <v>16</v>
      </c>
      <c r="Q95" s="4" t="s">
        <v>3</v>
      </c>
    </row>
    <row r="96" spans="1:17" x14ac:dyDescent="0.25">
      <c r="A96" s="1" t="str">
        <f t="shared" ref="A96:A122" si="5">"海洋環境資訊系"</f>
        <v>海洋環境資訊系</v>
      </c>
      <c r="B96" s="1" t="str">
        <f>"01381020"</f>
        <v>01381020</v>
      </c>
      <c r="C96" s="1" t="str">
        <f>"徐祥真"</f>
        <v>徐祥真</v>
      </c>
      <c r="Q96" s="1">
        <v>0</v>
      </c>
    </row>
    <row r="97" spans="1:17" x14ac:dyDescent="0.25">
      <c r="A97" s="1" t="str">
        <f t="shared" si="5"/>
        <v>海洋環境資訊系</v>
      </c>
      <c r="B97" s="1" t="str">
        <f>"01381021"</f>
        <v>01381021</v>
      </c>
      <c r="C97" s="1" t="str">
        <f>"鄭恩慈"</f>
        <v>鄭恩慈</v>
      </c>
      <c r="Q97" s="1">
        <v>0</v>
      </c>
    </row>
    <row r="98" spans="1:17" x14ac:dyDescent="0.25">
      <c r="A98" s="1" t="str">
        <f t="shared" si="5"/>
        <v>海洋環境資訊系</v>
      </c>
      <c r="B98" s="1" t="str">
        <f>"01381022"</f>
        <v>01381022</v>
      </c>
      <c r="C98" s="1" t="str">
        <f>"汪柏昕"</f>
        <v>汪柏昕</v>
      </c>
      <c r="Q98" s="1">
        <v>0</v>
      </c>
    </row>
    <row r="99" spans="1:17" x14ac:dyDescent="0.25">
      <c r="A99" s="1" t="str">
        <f t="shared" si="5"/>
        <v>海洋環境資訊系</v>
      </c>
      <c r="B99" s="1" t="str">
        <f>"01381023"</f>
        <v>01381023</v>
      </c>
      <c r="C99" s="1" t="str">
        <f>"蔡孟恒"</f>
        <v>蔡孟恒</v>
      </c>
      <c r="Q99" s="1">
        <v>0</v>
      </c>
    </row>
    <row r="100" spans="1:17" x14ac:dyDescent="0.25">
      <c r="A100" s="1" t="str">
        <f t="shared" si="5"/>
        <v>海洋環境資訊系</v>
      </c>
      <c r="B100" s="1" t="str">
        <f>"01381024"</f>
        <v>01381024</v>
      </c>
      <c r="C100" s="1" t="str">
        <f>"蔡宏璟"</f>
        <v>蔡宏璟</v>
      </c>
      <c r="Q100" s="1">
        <v>0</v>
      </c>
    </row>
    <row r="101" spans="1:17" x14ac:dyDescent="0.25">
      <c r="A101" s="1" t="str">
        <f t="shared" si="5"/>
        <v>海洋環境資訊系</v>
      </c>
      <c r="B101" s="1" t="str">
        <f>"01381026"</f>
        <v>01381026</v>
      </c>
      <c r="C101" s="1" t="str">
        <f>"吳詩華"</f>
        <v>吳詩華</v>
      </c>
      <c r="Q101" s="1">
        <v>0</v>
      </c>
    </row>
    <row r="102" spans="1:17" x14ac:dyDescent="0.25">
      <c r="A102" s="1" t="str">
        <f t="shared" si="5"/>
        <v>海洋環境資訊系</v>
      </c>
      <c r="B102" s="1" t="str">
        <f>"01381027"</f>
        <v>01381027</v>
      </c>
      <c r="C102" s="1" t="str">
        <f>"張維哲"</f>
        <v>張維哲</v>
      </c>
      <c r="H102" s="1" t="s">
        <v>17</v>
      </c>
      <c r="Q102" s="1">
        <v>1</v>
      </c>
    </row>
    <row r="103" spans="1:17" x14ac:dyDescent="0.25">
      <c r="A103" s="1" t="str">
        <f t="shared" si="5"/>
        <v>海洋環境資訊系</v>
      </c>
      <c r="B103" s="1" t="str">
        <f>"01381030"</f>
        <v>01381030</v>
      </c>
      <c r="C103" s="1" t="str">
        <f>"黃弘量"</f>
        <v>黃弘量</v>
      </c>
      <c r="Q103" s="1">
        <v>0</v>
      </c>
    </row>
    <row r="104" spans="1:17" x14ac:dyDescent="0.25">
      <c r="A104" s="1" t="str">
        <f t="shared" si="5"/>
        <v>海洋環境資訊系</v>
      </c>
      <c r="B104" s="1" t="str">
        <f>"01381031"</f>
        <v>01381031</v>
      </c>
      <c r="C104" s="1" t="str">
        <f>"彭崢珣"</f>
        <v>彭崢珣</v>
      </c>
      <c r="Q104" s="1">
        <v>0</v>
      </c>
    </row>
    <row r="105" spans="1:17" x14ac:dyDescent="0.25">
      <c r="A105" s="1" t="str">
        <f t="shared" si="5"/>
        <v>海洋環境資訊系</v>
      </c>
      <c r="B105" s="1" t="str">
        <f>"01381032"</f>
        <v>01381032</v>
      </c>
      <c r="C105" s="1" t="str">
        <f>"陳咨妤"</f>
        <v>陳咨妤</v>
      </c>
      <c r="H105" s="1" t="s">
        <v>17</v>
      </c>
      <c r="L105" s="1" t="s">
        <v>17</v>
      </c>
      <c r="Q105" s="1">
        <v>2</v>
      </c>
    </row>
    <row r="106" spans="1:17" x14ac:dyDescent="0.25">
      <c r="A106" s="1" t="str">
        <f t="shared" si="5"/>
        <v>海洋環境資訊系</v>
      </c>
      <c r="B106" s="1" t="str">
        <f>"01381033"</f>
        <v>01381033</v>
      </c>
      <c r="C106" s="1" t="str">
        <f>"呂鴻奇"</f>
        <v>呂鴻奇</v>
      </c>
      <c r="Q106" s="1">
        <v>0</v>
      </c>
    </row>
    <row r="107" spans="1:17" x14ac:dyDescent="0.25">
      <c r="A107" s="1" t="str">
        <f t="shared" si="5"/>
        <v>海洋環境資訊系</v>
      </c>
      <c r="B107" s="1" t="str">
        <f>"01381036"</f>
        <v>01381036</v>
      </c>
      <c r="C107" s="1" t="str">
        <f>"林佳"</f>
        <v>林佳</v>
      </c>
      <c r="Q107" s="1">
        <v>0</v>
      </c>
    </row>
    <row r="108" spans="1:17" x14ac:dyDescent="0.25">
      <c r="A108" s="1" t="str">
        <f t="shared" si="5"/>
        <v>海洋環境資訊系</v>
      </c>
      <c r="B108" s="1" t="str">
        <f>"01381038"</f>
        <v>01381038</v>
      </c>
      <c r="C108" s="1" t="str">
        <f>"曾亦維"</f>
        <v>曾亦維</v>
      </c>
      <c r="Q108" s="1">
        <v>0</v>
      </c>
    </row>
    <row r="109" spans="1:17" x14ac:dyDescent="0.25">
      <c r="A109" s="1" t="str">
        <f t="shared" si="5"/>
        <v>海洋環境資訊系</v>
      </c>
      <c r="B109" s="1" t="str">
        <f>"01381039"</f>
        <v>01381039</v>
      </c>
      <c r="C109" s="1" t="str">
        <f>"譚丞祐"</f>
        <v>譚丞祐</v>
      </c>
      <c r="Q109" s="1">
        <v>0</v>
      </c>
    </row>
    <row r="110" spans="1:17" x14ac:dyDescent="0.25">
      <c r="A110" s="1" t="str">
        <f t="shared" si="5"/>
        <v>海洋環境資訊系</v>
      </c>
      <c r="B110" s="1" t="str">
        <f>"01381040"</f>
        <v>01381040</v>
      </c>
      <c r="C110" s="1" t="str">
        <f>"鄧宇翔"</f>
        <v>鄧宇翔</v>
      </c>
      <c r="Q110" s="1">
        <v>0</v>
      </c>
    </row>
    <row r="111" spans="1:17" x14ac:dyDescent="0.25">
      <c r="A111" s="1" t="str">
        <f t="shared" si="5"/>
        <v>海洋環境資訊系</v>
      </c>
      <c r="B111" s="1" t="str">
        <f>"01381042"</f>
        <v>01381042</v>
      </c>
      <c r="C111" s="1" t="str">
        <f>"蕭浚宇"</f>
        <v>蕭浚宇</v>
      </c>
      <c r="Q111" s="1">
        <v>0</v>
      </c>
    </row>
    <row r="112" spans="1:17" x14ac:dyDescent="0.25">
      <c r="A112" s="1" t="str">
        <f t="shared" si="5"/>
        <v>海洋環境資訊系</v>
      </c>
      <c r="B112" s="1" t="str">
        <f>"01381043"</f>
        <v>01381043</v>
      </c>
      <c r="C112" s="1" t="str">
        <f>"孫祥齊"</f>
        <v>孫祥齊</v>
      </c>
      <c r="Q112" s="1">
        <v>0</v>
      </c>
    </row>
    <row r="113" spans="1:17" x14ac:dyDescent="0.25">
      <c r="A113" s="1" t="str">
        <f t="shared" si="5"/>
        <v>海洋環境資訊系</v>
      </c>
      <c r="B113" s="1" t="str">
        <f>"01381044"</f>
        <v>01381044</v>
      </c>
      <c r="C113" s="1" t="str">
        <f>"黃億銘"</f>
        <v>黃億銘</v>
      </c>
      <c r="Q113" s="1">
        <v>0</v>
      </c>
    </row>
    <row r="114" spans="1:17" x14ac:dyDescent="0.25">
      <c r="A114" s="1" t="str">
        <f t="shared" si="5"/>
        <v>海洋環境資訊系</v>
      </c>
      <c r="B114" s="1" t="str">
        <f>"01381045"</f>
        <v>01381045</v>
      </c>
      <c r="C114" s="1" t="str">
        <f>"趙羽喬"</f>
        <v>趙羽喬</v>
      </c>
      <c r="Q114" s="1">
        <v>0</v>
      </c>
    </row>
    <row r="115" spans="1:17" x14ac:dyDescent="0.25">
      <c r="A115" s="1" t="str">
        <f t="shared" si="5"/>
        <v>海洋環境資訊系</v>
      </c>
      <c r="B115" s="1" t="str">
        <f>"01381046"</f>
        <v>01381046</v>
      </c>
      <c r="C115" s="1" t="str">
        <f>"巫宗祐"</f>
        <v>巫宗祐</v>
      </c>
      <c r="Q115" s="1">
        <v>0</v>
      </c>
    </row>
    <row r="116" spans="1:17" x14ac:dyDescent="0.25">
      <c r="A116" s="1" t="str">
        <f t="shared" si="5"/>
        <v>海洋環境資訊系</v>
      </c>
      <c r="B116" s="1" t="str">
        <f>"01381047"</f>
        <v>01381047</v>
      </c>
      <c r="C116" s="1" t="str">
        <f>"張惟?"</f>
        <v>張惟?</v>
      </c>
      <c r="Q116" s="1">
        <v>0</v>
      </c>
    </row>
    <row r="117" spans="1:17" x14ac:dyDescent="0.25">
      <c r="A117" s="1" t="str">
        <f t="shared" si="5"/>
        <v>海洋環境資訊系</v>
      </c>
      <c r="B117" s="1" t="str">
        <f>"01381048"</f>
        <v>01381048</v>
      </c>
      <c r="C117" s="1" t="str">
        <f>"黃韻安"</f>
        <v>黃韻安</v>
      </c>
      <c r="Q117" s="1">
        <v>0</v>
      </c>
    </row>
    <row r="118" spans="1:17" x14ac:dyDescent="0.25">
      <c r="A118" s="1" t="str">
        <f t="shared" si="5"/>
        <v>海洋環境資訊系</v>
      </c>
      <c r="B118" s="1" t="str">
        <f>"01381049"</f>
        <v>01381049</v>
      </c>
      <c r="C118" s="1" t="str">
        <f>"李襄"</f>
        <v>李襄</v>
      </c>
      <c r="Q118" s="1">
        <v>0</v>
      </c>
    </row>
    <row r="119" spans="1:17" x14ac:dyDescent="0.25">
      <c r="A119" s="1" t="str">
        <f t="shared" si="5"/>
        <v>海洋環境資訊系</v>
      </c>
      <c r="B119" s="1" t="str">
        <f>"01381050"</f>
        <v>01381050</v>
      </c>
      <c r="C119" s="1" t="str">
        <f>"林歆惠"</f>
        <v>林歆惠</v>
      </c>
      <c r="Q119" s="1">
        <v>0</v>
      </c>
    </row>
    <row r="120" spans="1:17" x14ac:dyDescent="0.25">
      <c r="A120" s="1" t="str">
        <f t="shared" si="5"/>
        <v>海洋環境資訊系</v>
      </c>
      <c r="B120" s="1" t="str">
        <f>"01381051"</f>
        <v>01381051</v>
      </c>
      <c r="C120" s="1" t="str">
        <f>"吳語庭"</f>
        <v>吳語庭</v>
      </c>
      <c r="Q120" s="1">
        <v>0</v>
      </c>
    </row>
    <row r="121" spans="1:17" x14ac:dyDescent="0.25">
      <c r="A121" s="1" t="str">
        <f t="shared" si="5"/>
        <v>海洋環境資訊系</v>
      </c>
      <c r="B121" s="1" t="str">
        <f>"01381052"</f>
        <v>01381052</v>
      </c>
      <c r="C121" s="1" t="str">
        <f>"朱晉駒"</f>
        <v>朱晉駒</v>
      </c>
      <c r="Q121" s="1">
        <v>0</v>
      </c>
    </row>
    <row r="122" spans="1:17" x14ac:dyDescent="0.25">
      <c r="A122" s="1" t="str">
        <f t="shared" si="5"/>
        <v>海洋環境資訊系</v>
      </c>
      <c r="B122" s="1" t="str">
        <f>"01381053"</f>
        <v>01381053</v>
      </c>
      <c r="C122" s="1" t="str">
        <f>"李芷樂"</f>
        <v>李芷樂</v>
      </c>
      <c r="Q122" s="1">
        <v>0</v>
      </c>
    </row>
    <row r="123" spans="1:17" x14ac:dyDescent="0.25">
      <c r="A123" s="1" t="str">
        <f>"地球科學研究所碩士班"</f>
        <v>地球科學研究所碩士班</v>
      </c>
      <c r="B123" s="1" t="str">
        <f>"11386001"</f>
        <v>11386001</v>
      </c>
      <c r="C123" s="1" t="str">
        <f>"蔡聿鵑"</f>
        <v>蔡聿鵑</v>
      </c>
      <c r="D123" s="1" t="s">
        <v>17</v>
      </c>
      <c r="E123" s="1" t="s">
        <v>17</v>
      </c>
      <c r="G123" s="1" t="s">
        <v>17</v>
      </c>
      <c r="J123" s="1" t="s">
        <v>17</v>
      </c>
      <c r="M123" s="1" t="s">
        <v>17</v>
      </c>
      <c r="Q123" s="1">
        <v>5</v>
      </c>
    </row>
    <row r="124" spans="1:17" x14ac:dyDescent="0.25">
      <c r="B124" s="7" t="s">
        <v>23</v>
      </c>
      <c r="C124" s="1" t="s">
        <v>24</v>
      </c>
      <c r="E124" s="1" t="s">
        <v>17</v>
      </c>
      <c r="F124" s="1" t="s">
        <v>17</v>
      </c>
      <c r="L124" s="1" t="s">
        <v>17</v>
      </c>
      <c r="O124" s="1" t="s">
        <v>17</v>
      </c>
      <c r="Q124" s="1">
        <v>4</v>
      </c>
    </row>
    <row r="125" spans="1:17" x14ac:dyDescent="0.25">
      <c r="A125" s="1" t="str">
        <f t="shared" ref="A125" si="6">"海洋環境資訊系"</f>
        <v>海洋環境資訊系</v>
      </c>
      <c r="B125" s="7" t="s">
        <v>21</v>
      </c>
      <c r="C125" s="1" t="s">
        <v>22</v>
      </c>
      <c r="L125" s="1" t="s">
        <v>17</v>
      </c>
      <c r="Q125" s="1">
        <v>1</v>
      </c>
    </row>
    <row r="142" spans="1:17" x14ac:dyDescent="0.25">
      <c r="A142" s="2" t="s">
        <v>0</v>
      </c>
      <c r="B142" s="2" t="s">
        <v>1</v>
      </c>
      <c r="C142" s="2" t="s">
        <v>2</v>
      </c>
      <c r="D142" s="3" t="s">
        <v>4</v>
      </c>
      <c r="E142" s="3" t="s">
        <v>5</v>
      </c>
      <c r="F142" s="3" t="s">
        <v>6</v>
      </c>
      <c r="G142" s="3" t="s">
        <v>7</v>
      </c>
      <c r="H142" s="3" t="s">
        <v>8</v>
      </c>
      <c r="I142" s="3" t="s">
        <v>9</v>
      </c>
      <c r="J142" s="3" t="s">
        <v>10</v>
      </c>
      <c r="K142" s="3" t="s">
        <v>11</v>
      </c>
      <c r="L142" s="3" t="s">
        <v>12</v>
      </c>
      <c r="M142" s="3" t="s">
        <v>13</v>
      </c>
      <c r="N142" s="3" t="s">
        <v>14</v>
      </c>
      <c r="O142" s="3" t="s">
        <v>15</v>
      </c>
      <c r="P142" s="3" t="s">
        <v>16</v>
      </c>
      <c r="Q142" s="4" t="s">
        <v>3</v>
      </c>
    </row>
  </sheetData>
  <phoneticPr fontId="1" type="noConversion"/>
  <pageMargins left="0.45866141700000002" right="0.196850393700787" top="0.74803149606299202" bottom="0.99803149599999996" header="0.31496062992126" footer="0.31496062992126"/>
  <pageSetup paperSize="9" orientation="portrait" r:id="rId1"/>
  <headerFooter>
    <oddHeader>&amp;C1132化學補強教學出席率登記本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29"/>
  <sheetViews>
    <sheetView view="pageLayout" topLeftCell="A42" zoomScale="150" zoomScaleNormal="25" zoomScalePageLayoutView="150" workbookViewId="0">
      <selection activeCell="Q3" sqref="Q3:Q46"/>
    </sheetView>
  </sheetViews>
  <sheetFormatPr defaultColWidth="9" defaultRowHeight="16.5" x14ac:dyDescent="0.25"/>
  <cols>
    <col min="1" max="1" width="6.125" style="1" customWidth="1"/>
    <col min="2" max="2" width="8.625" style="1" customWidth="1"/>
    <col min="3" max="3" width="8" style="1" customWidth="1"/>
    <col min="4" max="17" width="4.625" style="1" customWidth="1"/>
    <col min="18" max="16384" width="9" style="1"/>
  </cols>
  <sheetData>
    <row r="2" spans="1:17" x14ac:dyDescent="0.25">
      <c r="A2" s="2" t="s">
        <v>0</v>
      </c>
      <c r="B2" s="2" t="s">
        <v>1</v>
      </c>
      <c r="C2" s="2" t="s">
        <v>2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3</v>
      </c>
    </row>
    <row r="3" spans="1:17" x14ac:dyDescent="0.25">
      <c r="A3" s="1" t="str">
        <f>"生命科學暨生物科技學系"</f>
        <v>生命科學暨生物科技學系</v>
      </c>
      <c r="B3" s="1" t="str">
        <f>"0093B029"</f>
        <v>0093B029</v>
      </c>
      <c r="C3" s="1" t="str">
        <f>"李柏諺"</f>
        <v>李柏諺</v>
      </c>
      <c r="Q3" s="1">
        <v>0</v>
      </c>
    </row>
    <row r="4" spans="1:17" x14ac:dyDescent="0.25">
      <c r="A4" s="1" t="str">
        <f>"海洋生物科技學士學位學程"</f>
        <v>海洋生物科技學士學位學程</v>
      </c>
      <c r="B4" s="1" t="str">
        <f>"01038005"</f>
        <v>01038005</v>
      </c>
      <c r="C4" s="1" t="str">
        <f>"曾泱紫"</f>
        <v>曾泱紫</v>
      </c>
      <c r="Q4" s="1">
        <v>0</v>
      </c>
    </row>
    <row r="5" spans="1:17" x14ac:dyDescent="0.25">
      <c r="A5" s="1" t="str">
        <f t="shared" ref="A5:A17" si="0">"生命科學暨生物科技學系"</f>
        <v>生命科學暨生物科技學系</v>
      </c>
      <c r="B5" s="1" t="str">
        <f>"0103B008"</f>
        <v>0103B008</v>
      </c>
      <c r="C5" s="1" t="str">
        <f>"廖梓安"</f>
        <v>廖梓安</v>
      </c>
      <c r="Q5" s="1">
        <v>0</v>
      </c>
    </row>
    <row r="6" spans="1:17" x14ac:dyDescent="0.25">
      <c r="A6" s="1" t="str">
        <f t="shared" si="0"/>
        <v>生命科學暨生物科技學系</v>
      </c>
      <c r="B6" s="1" t="str">
        <f>"0103B019"</f>
        <v>0103B019</v>
      </c>
      <c r="C6" s="1" t="str">
        <f>"李承威"</f>
        <v>李承威</v>
      </c>
      <c r="Q6" s="1">
        <v>0</v>
      </c>
    </row>
    <row r="7" spans="1:17" x14ac:dyDescent="0.25">
      <c r="A7" s="1" t="str">
        <f t="shared" si="0"/>
        <v>生命科學暨生物科技學系</v>
      </c>
      <c r="B7" s="1" t="str">
        <f>"0103B034"</f>
        <v>0103B034</v>
      </c>
      <c r="C7" s="1" t="str">
        <f>"柯廷澔"</f>
        <v>柯廷澔</v>
      </c>
      <c r="Q7" s="1">
        <v>0</v>
      </c>
    </row>
    <row r="8" spans="1:17" x14ac:dyDescent="0.25">
      <c r="A8" s="1" t="str">
        <f t="shared" si="0"/>
        <v>生命科學暨生物科技學系</v>
      </c>
      <c r="B8" s="1" t="str">
        <f>"0103B043"</f>
        <v>0103B043</v>
      </c>
      <c r="C8" s="1" t="str">
        <f>"李姿諭"</f>
        <v>李姿諭</v>
      </c>
      <c r="Q8" s="1">
        <v>0</v>
      </c>
    </row>
    <row r="9" spans="1:17" x14ac:dyDescent="0.25">
      <c r="A9" s="1" t="str">
        <f t="shared" si="0"/>
        <v>生命科學暨生物科技學系</v>
      </c>
      <c r="B9" s="1" t="str">
        <f>"0113B007"</f>
        <v>0113B007</v>
      </c>
      <c r="C9" s="1" t="str">
        <f>"陳瑀綸"</f>
        <v>陳瑀綸</v>
      </c>
      <c r="Q9" s="1">
        <v>0</v>
      </c>
    </row>
    <row r="10" spans="1:17" x14ac:dyDescent="0.25">
      <c r="A10" s="1" t="str">
        <f t="shared" si="0"/>
        <v>生命科學暨生物科技學系</v>
      </c>
      <c r="B10" s="1" t="str">
        <f>"0113B020"</f>
        <v>0113B020</v>
      </c>
      <c r="C10" s="1" t="str">
        <f>"許立宏"</f>
        <v>許立宏</v>
      </c>
      <c r="Q10" s="1">
        <v>0</v>
      </c>
    </row>
    <row r="11" spans="1:17" x14ac:dyDescent="0.25">
      <c r="A11" s="1" t="str">
        <f t="shared" si="0"/>
        <v>生命科學暨生物科技學系</v>
      </c>
      <c r="B11" s="1" t="str">
        <f>"0113B023"</f>
        <v>0113B023</v>
      </c>
      <c r="C11" s="1" t="str">
        <f>"古浩翔"</f>
        <v>古浩翔</v>
      </c>
      <c r="Q11" s="1">
        <v>0</v>
      </c>
    </row>
    <row r="12" spans="1:17" x14ac:dyDescent="0.25">
      <c r="A12" s="1" t="str">
        <f t="shared" si="0"/>
        <v>生命科學暨生物科技學系</v>
      </c>
      <c r="B12" s="1" t="str">
        <f>"0113B025"</f>
        <v>0113B025</v>
      </c>
      <c r="C12" s="1" t="str">
        <f>"董正煜"</f>
        <v>董正煜</v>
      </c>
      <c r="Q12" s="1">
        <v>0</v>
      </c>
    </row>
    <row r="13" spans="1:17" x14ac:dyDescent="0.25">
      <c r="A13" s="1" t="str">
        <f t="shared" si="0"/>
        <v>生命科學暨生物科技學系</v>
      </c>
      <c r="B13" s="1" t="str">
        <f>"0113B026"</f>
        <v>0113B026</v>
      </c>
      <c r="C13" s="1" t="str">
        <f>"謝凱麗"</f>
        <v>謝凱麗</v>
      </c>
      <c r="Q13" s="1">
        <v>0</v>
      </c>
    </row>
    <row r="14" spans="1:17" x14ac:dyDescent="0.25">
      <c r="A14" s="1" t="str">
        <f t="shared" si="0"/>
        <v>生命科學暨生物科技學系</v>
      </c>
      <c r="B14" s="1" t="str">
        <f>"0113B028"</f>
        <v>0113B028</v>
      </c>
      <c r="C14" s="1" t="str">
        <f>"李曼瑋"</f>
        <v>李曼瑋</v>
      </c>
      <c r="Q14" s="1">
        <v>0</v>
      </c>
    </row>
    <row r="15" spans="1:17" x14ac:dyDescent="0.25">
      <c r="A15" s="1" t="str">
        <f t="shared" si="0"/>
        <v>生命科學暨生物科技學系</v>
      </c>
      <c r="B15" s="1" t="str">
        <f>"0113B041"</f>
        <v>0113B041</v>
      </c>
      <c r="C15" s="1" t="str">
        <f>"陳昱宏"</f>
        <v>陳昱宏</v>
      </c>
      <c r="Q15" s="1">
        <v>0</v>
      </c>
    </row>
    <row r="16" spans="1:17" x14ac:dyDescent="0.25">
      <c r="A16" s="1" t="str">
        <f t="shared" si="0"/>
        <v>生命科學暨生物科技學系</v>
      </c>
      <c r="B16" s="1" t="str">
        <f>"0113B046"</f>
        <v>0113B046</v>
      </c>
      <c r="C16" s="1" t="str">
        <f>"曾童翎"</f>
        <v>曾童翎</v>
      </c>
      <c r="Q16" s="1">
        <v>0</v>
      </c>
    </row>
    <row r="17" spans="1:17" x14ac:dyDescent="0.25">
      <c r="A17" s="1" t="str">
        <f t="shared" si="0"/>
        <v>生命科學暨生物科技學系</v>
      </c>
      <c r="B17" s="1" t="str">
        <f>"0123B009"</f>
        <v>0123B009</v>
      </c>
      <c r="C17" s="1" t="str">
        <f>"賴奕君"</f>
        <v>賴奕君</v>
      </c>
      <c r="Q17" s="1">
        <v>0</v>
      </c>
    </row>
    <row r="18" spans="1:17" x14ac:dyDescent="0.25">
      <c r="A18" s="1" t="str">
        <f t="shared" ref="A18:A46" si="1">"海洋生物科技學士學位學程"</f>
        <v>海洋生物科技學士學位學程</v>
      </c>
      <c r="B18" s="1" t="str">
        <f>"01338001"</f>
        <v>01338001</v>
      </c>
      <c r="C18" s="1" t="str">
        <f>"秦訢祐"</f>
        <v>秦訢祐</v>
      </c>
      <c r="Q18" s="1">
        <v>0</v>
      </c>
    </row>
    <row r="19" spans="1:17" x14ac:dyDescent="0.25">
      <c r="A19" s="1" t="str">
        <f t="shared" si="1"/>
        <v>海洋生物科技學士學位學程</v>
      </c>
      <c r="B19" s="1" t="str">
        <f>"01338002"</f>
        <v>01338002</v>
      </c>
      <c r="C19" s="1" t="str">
        <f>"郭福臨"</f>
        <v>郭福臨</v>
      </c>
      <c r="Q19" s="1">
        <v>0</v>
      </c>
    </row>
    <row r="20" spans="1:17" x14ac:dyDescent="0.25">
      <c r="A20" s="1" t="str">
        <f t="shared" si="1"/>
        <v>海洋生物科技學士學位學程</v>
      </c>
      <c r="B20" s="1" t="str">
        <f>"01338003"</f>
        <v>01338003</v>
      </c>
      <c r="C20" s="1" t="str">
        <f>"張聖翊"</f>
        <v>張聖翊</v>
      </c>
      <c r="Q20" s="1">
        <v>0</v>
      </c>
    </row>
    <row r="21" spans="1:17" x14ac:dyDescent="0.25">
      <c r="A21" s="1" t="str">
        <f t="shared" si="1"/>
        <v>海洋生物科技學士學位學程</v>
      </c>
      <c r="B21" s="1" t="str">
        <f>"01338004"</f>
        <v>01338004</v>
      </c>
      <c r="C21" s="1" t="str">
        <f>"林怡君"</f>
        <v>林怡君</v>
      </c>
      <c r="Q21" s="1">
        <v>0</v>
      </c>
    </row>
    <row r="22" spans="1:17" x14ac:dyDescent="0.25">
      <c r="A22" s="1" t="str">
        <f t="shared" si="1"/>
        <v>海洋生物科技學士學位學程</v>
      </c>
      <c r="B22" s="1" t="str">
        <f>"01338005"</f>
        <v>01338005</v>
      </c>
      <c r="C22" s="1" t="str">
        <f>"梁維昕"</f>
        <v>梁維昕</v>
      </c>
      <c r="Q22" s="1">
        <v>0</v>
      </c>
    </row>
    <row r="23" spans="1:17" x14ac:dyDescent="0.25">
      <c r="A23" s="1" t="str">
        <f t="shared" si="1"/>
        <v>海洋生物科技學士學位學程</v>
      </c>
      <c r="B23" s="1" t="str">
        <f>"01338006"</f>
        <v>01338006</v>
      </c>
      <c r="C23" s="1" t="str">
        <f>"楊婭琋"</f>
        <v>楊婭琋</v>
      </c>
      <c r="Q23" s="1">
        <v>0</v>
      </c>
    </row>
    <row r="24" spans="1:17" x14ac:dyDescent="0.25">
      <c r="A24" s="1" t="str">
        <f t="shared" si="1"/>
        <v>海洋生物科技學士學位學程</v>
      </c>
      <c r="B24" s="1" t="str">
        <f>"01338007"</f>
        <v>01338007</v>
      </c>
      <c r="C24" s="1" t="str">
        <f>"陳韋勳"</f>
        <v>陳韋勳</v>
      </c>
      <c r="Q24" s="1">
        <v>0</v>
      </c>
    </row>
    <row r="25" spans="1:17" x14ac:dyDescent="0.25">
      <c r="A25" s="1" t="str">
        <f t="shared" si="1"/>
        <v>海洋生物科技學士學位學程</v>
      </c>
      <c r="B25" s="1" t="str">
        <f>"01338008"</f>
        <v>01338008</v>
      </c>
      <c r="C25" s="1" t="str">
        <f>"張書瑋"</f>
        <v>張書瑋</v>
      </c>
      <c r="Q25" s="1">
        <v>0</v>
      </c>
    </row>
    <row r="26" spans="1:17" x14ac:dyDescent="0.25">
      <c r="A26" s="1" t="str">
        <f t="shared" si="1"/>
        <v>海洋生物科技學士學位學程</v>
      </c>
      <c r="B26" s="1" t="str">
        <f>"01338010"</f>
        <v>01338010</v>
      </c>
      <c r="C26" s="1" t="str">
        <f>"黃韻臻"</f>
        <v>黃韻臻</v>
      </c>
      <c r="Q26" s="1">
        <v>0</v>
      </c>
    </row>
    <row r="27" spans="1:17" x14ac:dyDescent="0.25">
      <c r="A27" s="1" t="str">
        <f t="shared" si="1"/>
        <v>海洋生物科技學士學位學程</v>
      </c>
      <c r="B27" s="1" t="str">
        <f>"01338011"</f>
        <v>01338011</v>
      </c>
      <c r="C27" s="1" t="str">
        <f>"陳宜均"</f>
        <v>陳宜均</v>
      </c>
      <c r="Q27" s="1">
        <v>0</v>
      </c>
    </row>
    <row r="28" spans="1:17" x14ac:dyDescent="0.25">
      <c r="A28" s="1" t="str">
        <f t="shared" si="1"/>
        <v>海洋生物科技學士學位學程</v>
      </c>
      <c r="B28" s="1" t="str">
        <f>"01338012"</f>
        <v>01338012</v>
      </c>
      <c r="C28" s="1" t="str">
        <f>"陳彥宇"</f>
        <v>陳彥宇</v>
      </c>
      <c r="Q28" s="1">
        <v>0</v>
      </c>
    </row>
    <row r="29" spans="1:17" x14ac:dyDescent="0.25">
      <c r="A29" s="1" t="str">
        <f t="shared" si="1"/>
        <v>海洋生物科技學士學位學程</v>
      </c>
      <c r="B29" s="1" t="str">
        <f>"01338013"</f>
        <v>01338013</v>
      </c>
      <c r="C29" s="1" t="str">
        <f>"林均庭"</f>
        <v>林均庭</v>
      </c>
      <c r="Q29" s="1">
        <v>0</v>
      </c>
    </row>
    <row r="30" spans="1:17" x14ac:dyDescent="0.25">
      <c r="A30" s="1" t="str">
        <f t="shared" si="1"/>
        <v>海洋生物科技學士學位學程</v>
      </c>
      <c r="B30" s="1" t="str">
        <f>"01338014"</f>
        <v>01338014</v>
      </c>
      <c r="C30" s="1" t="str">
        <f>"朱薇臻"</f>
        <v>朱薇臻</v>
      </c>
      <c r="Q30" s="1">
        <v>0</v>
      </c>
    </row>
    <row r="31" spans="1:17" x14ac:dyDescent="0.25">
      <c r="A31" s="1" t="str">
        <f t="shared" si="1"/>
        <v>海洋生物科技學士學位學程</v>
      </c>
      <c r="B31" s="1" t="str">
        <f>"01338015"</f>
        <v>01338015</v>
      </c>
      <c r="C31" s="1" t="str">
        <f>"李彥蓉"</f>
        <v>李彥蓉</v>
      </c>
      <c r="Q31" s="1">
        <v>0</v>
      </c>
    </row>
    <row r="32" spans="1:17" x14ac:dyDescent="0.25">
      <c r="A32" s="1" t="str">
        <f t="shared" si="1"/>
        <v>海洋生物科技學士學位學程</v>
      </c>
      <c r="B32" s="1" t="str">
        <f>"01338016"</f>
        <v>01338016</v>
      </c>
      <c r="C32" s="1" t="str">
        <f>"蘇子誠"</f>
        <v>蘇子誠</v>
      </c>
      <c r="Q32" s="1">
        <v>0</v>
      </c>
    </row>
    <row r="33" spans="1:17" x14ac:dyDescent="0.25">
      <c r="A33" s="1" t="str">
        <f t="shared" si="1"/>
        <v>海洋生物科技學士學位學程</v>
      </c>
      <c r="B33" s="1" t="str">
        <f>"01338017"</f>
        <v>01338017</v>
      </c>
      <c r="C33" s="1" t="str">
        <f>"莫旭辰"</f>
        <v>莫旭辰</v>
      </c>
      <c r="Q33" s="1">
        <v>0</v>
      </c>
    </row>
    <row r="34" spans="1:17" x14ac:dyDescent="0.25">
      <c r="A34" s="1" t="str">
        <f t="shared" si="1"/>
        <v>海洋生物科技學士學位學程</v>
      </c>
      <c r="B34" s="1" t="str">
        <f>"01338018"</f>
        <v>01338018</v>
      </c>
      <c r="C34" s="1" t="str">
        <f>"吳家瑜"</f>
        <v>吳家瑜</v>
      </c>
      <c r="Q34" s="1">
        <v>0</v>
      </c>
    </row>
    <row r="35" spans="1:17" x14ac:dyDescent="0.25">
      <c r="A35" s="1" t="str">
        <f t="shared" si="1"/>
        <v>海洋生物科技學士學位學程</v>
      </c>
      <c r="B35" s="1" t="str">
        <f>"01338019"</f>
        <v>01338019</v>
      </c>
      <c r="C35" s="1" t="str">
        <f>"張睿庭"</f>
        <v>張睿庭</v>
      </c>
      <c r="Q35" s="1">
        <v>0</v>
      </c>
    </row>
    <row r="36" spans="1:17" x14ac:dyDescent="0.25">
      <c r="A36" s="1" t="str">
        <f t="shared" si="1"/>
        <v>海洋生物科技學士學位學程</v>
      </c>
      <c r="B36" s="1" t="str">
        <f>"01338020"</f>
        <v>01338020</v>
      </c>
      <c r="C36" s="1" t="str">
        <f>"陳世宇"</f>
        <v>陳世宇</v>
      </c>
      <c r="Q36" s="1">
        <v>0</v>
      </c>
    </row>
    <row r="37" spans="1:17" x14ac:dyDescent="0.25">
      <c r="A37" s="1" t="str">
        <f t="shared" si="1"/>
        <v>海洋生物科技學士學位學程</v>
      </c>
      <c r="B37" s="1" t="str">
        <f>"01338021"</f>
        <v>01338021</v>
      </c>
      <c r="C37" s="1" t="str">
        <f>"蔡欣蒨"</f>
        <v>蔡欣蒨</v>
      </c>
      <c r="Q37" s="1">
        <v>0</v>
      </c>
    </row>
    <row r="38" spans="1:17" x14ac:dyDescent="0.25">
      <c r="A38" s="1" t="str">
        <f t="shared" si="1"/>
        <v>海洋生物科技學士學位學程</v>
      </c>
      <c r="B38" s="1" t="str">
        <f>"01338022"</f>
        <v>01338022</v>
      </c>
      <c r="C38" s="1" t="str">
        <f>"廖庭婕"</f>
        <v>廖庭婕</v>
      </c>
      <c r="Q38" s="1">
        <v>0</v>
      </c>
    </row>
    <row r="39" spans="1:17" x14ac:dyDescent="0.25">
      <c r="A39" s="1" t="str">
        <f t="shared" si="1"/>
        <v>海洋生物科技學士學位學程</v>
      </c>
      <c r="B39" s="1" t="str">
        <f>"01338023"</f>
        <v>01338023</v>
      </c>
      <c r="C39" s="1" t="str">
        <f>"吳嘉宥"</f>
        <v>吳嘉宥</v>
      </c>
      <c r="Q39" s="1">
        <v>0</v>
      </c>
    </row>
    <row r="40" spans="1:17" x14ac:dyDescent="0.25">
      <c r="A40" s="1" t="str">
        <f t="shared" si="1"/>
        <v>海洋生物科技學士學位學程</v>
      </c>
      <c r="B40" s="1" t="str">
        <f>"01338024"</f>
        <v>01338024</v>
      </c>
      <c r="C40" s="1" t="str">
        <f>"蔡易庭"</f>
        <v>蔡易庭</v>
      </c>
      <c r="Q40" s="1">
        <v>0</v>
      </c>
    </row>
    <row r="41" spans="1:17" x14ac:dyDescent="0.25">
      <c r="A41" s="1" t="str">
        <f t="shared" si="1"/>
        <v>海洋生物科技學士學位學程</v>
      </c>
      <c r="B41" s="1" t="str">
        <f>"01338026"</f>
        <v>01338026</v>
      </c>
      <c r="C41" s="1" t="str">
        <f>"謝沁芸"</f>
        <v>謝沁芸</v>
      </c>
      <c r="Q41" s="1">
        <v>0</v>
      </c>
    </row>
    <row r="42" spans="1:17" x14ac:dyDescent="0.25">
      <c r="A42" s="1" t="str">
        <f t="shared" si="1"/>
        <v>海洋生物科技學士學位學程</v>
      </c>
      <c r="B42" s="1" t="str">
        <f>"01338027"</f>
        <v>01338027</v>
      </c>
      <c r="C42" s="1" t="str">
        <f>"曾鈺珈"</f>
        <v>曾鈺珈</v>
      </c>
      <c r="Q42" s="1">
        <v>0</v>
      </c>
    </row>
    <row r="43" spans="1:17" x14ac:dyDescent="0.25">
      <c r="A43" s="1" t="str">
        <f t="shared" si="1"/>
        <v>海洋生物科技學士學位學程</v>
      </c>
      <c r="B43" s="1" t="str">
        <f>"01338028"</f>
        <v>01338028</v>
      </c>
      <c r="C43" s="1" t="str">
        <f>"黃亮瑜"</f>
        <v>黃亮瑜</v>
      </c>
      <c r="Q43" s="1">
        <v>0</v>
      </c>
    </row>
    <row r="44" spans="1:17" x14ac:dyDescent="0.25">
      <c r="A44" s="1" t="str">
        <f t="shared" si="1"/>
        <v>海洋生物科技學士學位學程</v>
      </c>
      <c r="B44" s="1" t="str">
        <f>"01338029"</f>
        <v>01338029</v>
      </c>
      <c r="C44" s="1" t="str">
        <f>"林彥凱"</f>
        <v>林彥凱</v>
      </c>
      <c r="Q44" s="1">
        <v>0</v>
      </c>
    </row>
    <row r="45" spans="1:17" x14ac:dyDescent="0.25">
      <c r="A45" s="1" t="str">
        <f t="shared" si="1"/>
        <v>海洋生物科技學士學位學程</v>
      </c>
      <c r="B45" s="1" t="str">
        <f>"01338030"</f>
        <v>01338030</v>
      </c>
      <c r="C45" s="1" t="str">
        <f>"陳彥志"</f>
        <v>陳彥志</v>
      </c>
      <c r="Q45" s="1">
        <v>0</v>
      </c>
    </row>
    <row r="46" spans="1:17" x14ac:dyDescent="0.25">
      <c r="A46" s="1" t="str">
        <f t="shared" si="1"/>
        <v>海洋生物科技學士學位學程</v>
      </c>
      <c r="B46" s="1" t="str">
        <f>"01338031"</f>
        <v>01338031</v>
      </c>
      <c r="C46" s="1" t="str">
        <f>"潘奕廷"</f>
        <v>潘奕廷</v>
      </c>
      <c r="Q46" s="1">
        <v>0</v>
      </c>
    </row>
    <row r="47" spans="1:17" x14ac:dyDescent="0.25">
      <c r="A47" s="2" t="s">
        <v>0</v>
      </c>
      <c r="B47" s="2" t="s">
        <v>1</v>
      </c>
      <c r="C47" s="2" t="s">
        <v>2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  <c r="I47" s="3" t="s">
        <v>9</v>
      </c>
      <c r="J47" s="3" t="s">
        <v>10</v>
      </c>
      <c r="K47" s="3" t="s">
        <v>11</v>
      </c>
      <c r="L47" s="3" t="s">
        <v>12</v>
      </c>
      <c r="M47" s="3" t="s">
        <v>13</v>
      </c>
      <c r="N47" s="3" t="s">
        <v>14</v>
      </c>
      <c r="O47" s="3" t="s">
        <v>15</v>
      </c>
      <c r="P47" s="3" t="s">
        <v>16</v>
      </c>
      <c r="Q47" s="4" t="s">
        <v>3</v>
      </c>
    </row>
    <row r="48" spans="1:17" x14ac:dyDescent="0.25">
      <c r="A48" s="1" t="str">
        <f t="shared" ref="A48:A54" si="2">"海洋生物科技學士學位學程"</f>
        <v>海洋生物科技學士學位學程</v>
      </c>
      <c r="B48" s="1" t="str">
        <f>"01338032"</f>
        <v>01338032</v>
      </c>
      <c r="C48" s="1" t="str">
        <f>"徐璟豪"</f>
        <v>徐璟豪</v>
      </c>
      <c r="Q48" s="1">
        <v>0</v>
      </c>
    </row>
    <row r="49" spans="1:17" x14ac:dyDescent="0.25">
      <c r="A49" s="1" t="str">
        <f t="shared" si="2"/>
        <v>海洋生物科技學士學位學程</v>
      </c>
      <c r="B49" s="1" t="str">
        <f>"01338034"</f>
        <v>01338034</v>
      </c>
      <c r="C49" s="1" t="str">
        <f>"林威辰"</f>
        <v>林威辰</v>
      </c>
      <c r="Q49" s="1">
        <v>0</v>
      </c>
    </row>
    <row r="50" spans="1:17" x14ac:dyDescent="0.25">
      <c r="A50" s="1" t="str">
        <f t="shared" si="2"/>
        <v>海洋生物科技學士學位學程</v>
      </c>
      <c r="B50" s="1" t="str">
        <f>"01338035"</f>
        <v>01338035</v>
      </c>
      <c r="C50" s="1" t="str">
        <f>"宋易欣"</f>
        <v>宋易欣</v>
      </c>
      <c r="Q50" s="1">
        <v>0</v>
      </c>
    </row>
    <row r="51" spans="1:17" x14ac:dyDescent="0.25">
      <c r="A51" s="1" t="str">
        <f t="shared" si="2"/>
        <v>海洋生物科技學士學位學程</v>
      </c>
      <c r="B51" s="1" t="str">
        <f>"01338036"</f>
        <v>01338036</v>
      </c>
      <c r="C51" s="1" t="str">
        <f>"唐翊倢"</f>
        <v>唐翊倢</v>
      </c>
      <c r="Q51" s="1">
        <v>0</v>
      </c>
    </row>
    <row r="52" spans="1:17" x14ac:dyDescent="0.25">
      <c r="A52" s="1" t="str">
        <f t="shared" si="2"/>
        <v>海洋生物科技學士學位學程</v>
      </c>
      <c r="B52" s="1" t="str">
        <f>"01338037"</f>
        <v>01338037</v>
      </c>
      <c r="C52" s="1" t="str">
        <f>"王田昀蓉"</f>
        <v>王田昀蓉</v>
      </c>
      <c r="Q52" s="1">
        <v>0</v>
      </c>
    </row>
    <row r="53" spans="1:17" x14ac:dyDescent="0.25">
      <c r="A53" s="1" t="str">
        <f t="shared" si="2"/>
        <v>海洋生物科技學士學位學程</v>
      </c>
      <c r="B53" s="1" t="str">
        <f>"01338038"</f>
        <v>01338038</v>
      </c>
      <c r="C53" s="1" t="str">
        <f>"黃金富"</f>
        <v>黃金富</v>
      </c>
      <c r="Q53" s="1">
        <v>0</v>
      </c>
    </row>
    <row r="54" spans="1:17" x14ac:dyDescent="0.25">
      <c r="A54" s="1" t="str">
        <f t="shared" si="2"/>
        <v>海洋生物科技學士學位學程</v>
      </c>
      <c r="B54" s="1" t="str">
        <f>"01338040"</f>
        <v>01338040</v>
      </c>
      <c r="C54" s="1" t="str">
        <f>"賴諾行"</f>
        <v>賴諾行</v>
      </c>
      <c r="Q54" s="1">
        <v>0</v>
      </c>
    </row>
    <row r="55" spans="1:17" x14ac:dyDescent="0.25">
      <c r="A55" s="1" t="str">
        <f t="shared" ref="A55:A92" si="3">"生命科學暨生物科技學系"</f>
        <v>生命科學暨生物科技學系</v>
      </c>
      <c r="B55" s="1" t="str">
        <f>"0133B001"</f>
        <v>0133B001</v>
      </c>
      <c r="C55" s="1" t="str">
        <f>"朱浩泯"</f>
        <v>朱浩泯</v>
      </c>
      <c r="Q55" s="1">
        <v>0</v>
      </c>
    </row>
    <row r="56" spans="1:17" x14ac:dyDescent="0.25">
      <c r="A56" s="1" t="str">
        <f t="shared" si="3"/>
        <v>生命科學暨生物科技學系</v>
      </c>
      <c r="B56" s="1" t="str">
        <f>"0133B002"</f>
        <v>0133B002</v>
      </c>
      <c r="C56" s="1" t="str">
        <f>"黃宥勝"</f>
        <v>黃宥勝</v>
      </c>
      <c r="Q56" s="1">
        <v>0</v>
      </c>
    </row>
    <row r="57" spans="1:17" x14ac:dyDescent="0.25">
      <c r="A57" s="1" t="str">
        <f t="shared" si="3"/>
        <v>生命科學暨生物科技學系</v>
      </c>
      <c r="B57" s="1" t="str">
        <f>"0133B003"</f>
        <v>0133B003</v>
      </c>
      <c r="C57" s="1" t="str">
        <f>"張紹庭"</f>
        <v>張紹庭</v>
      </c>
      <c r="Q57" s="1">
        <v>0</v>
      </c>
    </row>
    <row r="58" spans="1:17" x14ac:dyDescent="0.25">
      <c r="A58" s="1" t="str">
        <f t="shared" si="3"/>
        <v>生命科學暨生物科技學系</v>
      </c>
      <c r="B58" s="1" t="str">
        <f>"0133B004"</f>
        <v>0133B004</v>
      </c>
      <c r="C58" s="1" t="str">
        <f>"馬昀"</f>
        <v>馬昀</v>
      </c>
      <c r="Q58" s="1">
        <v>0</v>
      </c>
    </row>
    <row r="59" spans="1:17" x14ac:dyDescent="0.25">
      <c r="A59" s="1" t="str">
        <f t="shared" si="3"/>
        <v>生命科學暨生物科技學系</v>
      </c>
      <c r="B59" s="1" t="str">
        <f>"0133B005"</f>
        <v>0133B005</v>
      </c>
      <c r="C59" s="1" t="str">
        <f>"潘楓蕙"</f>
        <v>潘楓蕙</v>
      </c>
      <c r="Q59" s="1">
        <v>0</v>
      </c>
    </row>
    <row r="60" spans="1:17" x14ac:dyDescent="0.25">
      <c r="A60" s="1" t="str">
        <f t="shared" si="3"/>
        <v>生命科學暨生物科技學系</v>
      </c>
      <c r="B60" s="1" t="str">
        <f>"0133B006"</f>
        <v>0133B006</v>
      </c>
      <c r="C60" s="1" t="str">
        <f>"王濬維"</f>
        <v>王濬維</v>
      </c>
      <c r="Q60" s="1">
        <v>0</v>
      </c>
    </row>
    <row r="61" spans="1:17" x14ac:dyDescent="0.25">
      <c r="A61" s="1" t="str">
        <f t="shared" si="3"/>
        <v>生命科學暨生物科技學系</v>
      </c>
      <c r="B61" s="1" t="str">
        <f>"0133B007"</f>
        <v>0133B007</v>
      </c>
      <c r="C61" s="1" t="str">
        <f>"黃洳穗"</f>
        <v>黃洳穗</v>
      </c>
      <c r="Q61" s="1">
        <v>0</v>
      </c>
    </row>
    <row r="62" spans="1:17" x14ac:dyDescent="0.25">
      <c r="A62" s="1" t="str">
        <f t="shared" si="3"/>
        <v>生命科學暨生物科技學系</v>
      </c>
      <c r="B62" s="1" t="str">
        <f>"0133B008"</f>
        <v>0133B008</v>
      </c>
      <c r="C62" s="1" t="str">
        <f>"劉千毓"</f>
        <v>劉千毓</v>
      </c>
      <c r="Q62" s="1">
        <v>0</v>
      </c>
    </row>
    <row r="63" spans="1:17" x14ac:dyDescent="0.25">
      <c r="A63" s="1" t="str">
        <f t="shared" si="3"/>
        <v>生命科學暨生物科技學系</v>
      </c>
      <c r="B63" s="1" t="str">
        <f>"0133B009"</f>
        <v>0133B009</v>
      </c>
      <c r="C63" s="1" t="str">
        <f>"蔡宇恆"</f>
        <v>蔡宇恆</v>
      </c>
      <c r="Q63" s="1">
        <v>0</v>
      </c>
    </row>
    <row r="64" spans="1:17" x14ac:dyDescent="0.25">
      <c r="A64" s="1" t="str">
        <f t="shared" si="3"/>
        <v>生命科學暨生物科技學系</v>
      </c>
      <c r="B64" s="1" t="str">
        <f>"0133B010"</f>
        <v>0133B010</v>
      </c>
      <c r="C64" s="1" t="str">
        <f>"王子齊"</f>
        <v>王子齊</v>
      </c>
      <c r="Q64" s="1">
        <v>0</v>
      </c>
    </row>
    <row r="65" spans="1:17" x14ac:dyDescent="0.25">
      <c r="A65" s="1" t="str">
        <f t="shared" si="3"/>
        <v>生命科學暨生物科技學系</v>
      </c>
      <c r="B65" s="1" t="str">
        <f>"0133B011"</f>
        <v>0133B011</v>
      </c>
      <c r="C65" s="1" t="str">
        <f>"黃千圳"</f>
        <v>黃千圳</v>
      </c>
      <c r="Q65" s="1">
        <v>0</v>
      </c>
    </row>
    <row r="66" spans="1:17" x14ac:dyDescent="0.25">
      <c r="A66" s="1" t="str">
        <f t="shared" si="3"/>
        <v>生命科學暨生物科技學系</v>
      </c>
      <c r="B66" s="1" t="str">
        <f>"0133B012"</f>
        <v>0133B012</v>
      </c>
      <c r="C66" s="1" t="str">
        <f>"江沂臻"</f>
        <v>江沂臻</v>
      </c>
      <c r="Q66" s="1">
        <v>0</v>
      </c>
    </row>
    <row r="67" spans="1:17" x14ac:dyDescent="0.25">
      <c r="A67" s="1" t="str">
        <f t="shared" si="3"/>
        <v>生命科學暨生物科技學系</v>
      </c>
      <c r="B67" s="1" t="str">
        <f>"0133B013"</f>
        <v>0133B013</v>
      </c>
      <c r="C67" s="1" t="str">
        <f>"劉冠妤"</f>
        <v>劉冠妤</v>
      </c>
      <c r="Q67" s="1">
        <v>0</v>
      </c>
    </row>
    <row r="68" spans="1:17" x14ac:dyDescent="0.25">
      <c r="A68" s="1" t="str">
        <f t="shared" si="3"/>
        <v>生命科學暨生物科技學系</v>
      </c>
      <c r="B68" s="1" t="str">
        <f>"0133B014"</f>
        <v>0133B014</v>
      </c>
      <c r="C68" s="1" t="str">
        <f>"杜家誠"</f>
        <v>杜家誠</v>
      </c>
      <c r="Q68" s="1">
        <v>0</v>
      </c>
    </row>
    <row r="69" spans="1:17" x14ac:dyDescent="0.25">
      <c r="A69" s="1" t="str">
        <f t="shared" si="3"/>
        <v>生命科學暨生物科技學系</v>
      </c>
      <c r="B69" s="1" t="str">
        <f>"0133B015"</f>
        <v>0133B015</v>
      </c>
      <c r="C69" s="1" t="str">
        <f>"黃如婕"</f>
        <v>黃如婕</v>
      </c>
      <c r="Q69" s="1">
        <v>0</v>
      </c>
    </row>
    <row r="70" spans="1:17" x14ac:dyDescent="0.25">
      <c r="A70" s="1" t="str">
        <f t="shared" si="3"/>
        <v>生命科學暨生物科技學系</v>
      </c>
      <c r="B70" s="1" t="str">
        <f>"0133B016"</f>
        <v>0133B016</v>
      </c>
      <c r="C70" s="1" t="str">
        <f>"張晅睿"</f>
        <v>張晅睿</v>
      </c>
      <c r="Q70" s="1">
        <v>0</v>
      </c>
    </row>
    <row r="71" spans="1:17" x14ac:dyDescent="0.25">
      <c r="A71" s="1" t="str">
        <f t="shared" si="3"/>
        <v>生命科學暨生物科技學系</v>
      </c>
      <c r="B71" s="1" t="str">
        <f>"0133B017"</f>
        <v>0133B017</v>
      </c>
      <c r="C71" s="1" t="str">
        <f>"朱雲綺"</f>
        <v>朱雲綺</v>
      </c>
      <c r="Q71" s="1">
        <v>0</v>
      </c>
    </row>
    <row r="72" spans="1:17" x14ac:dyDescent="0.25">
      <c r="A72" s="1" t="str">
        <f t="shared" si="3"/>
        <v>生命科學暨生物科技學系</v>
      </c>
      <c r="B72" s="1" t="str">
        <f>"0133B018"</f>
        <v>0133B018</v>
      </c>
      <c r="C72" s="1" t="str">
        <f>"李端綺"</f>
        <v>李端綺</v>
      </c>
      <c r="Q72" s="1">
        <v>0</v>
      </c>
    </row>
    <row r="73" spans="1:17" x14ac:dyDescent="0.25">
      <c r="A73" s="1" t="str">
        <f t="shared" si="3"/>
        <v>生命科學暨生物科技學系</v>
      </c>
      <c r="B73" s="1" t="str">
        <f>"0133B019"</f>
        <v>0133B019</v>
      </c>
      <c r="C73" s="1" t="str">
        <f>"林宜嫺"</f>
        <v>林宜嫺</v>
      </c>
      <c r="Q73" s="1">
        <v>0</v>
      </c>
    </row>
    <row r="74" spans="1:17" x14ac:dyDescent="0.25">
      <c r="A74" s="1" t="str">
        <f t="shared" si="3"/>
        <v>生命科學暨生物科技學系</v>
      </c>
      <c r="B74" s="1" t="str">
        <f>"0133B020"</f>
        <v>0133B020</v>
      </c>
      <c r="C74" s="1" t="str">
        <f>"褚婕"</f>
        <v>褚婕</v>
      </c>
      <c r="Q74" s="1">
        <v>0</v>
      </c>
    </row>
    <row r="75" spans="1:17" x14ac:dyDescent="0.25">
      <c r="A75" s="1" t="str">
        <f t="shared" si="3"/>
        <v>生命科學暨生物科技學系</v>
      </c>
      <c r="B75" s="1" t="str">
        <f>"0133B021"</f>
        <v>0133B021</v>
      </c>
      <c r="C75" s="1" t="str">
        <f>"阮周止戈"</f>
        <v>阮周止戈</v>
      </c>
      <c r="Q75" s="1">
        <v>0</v>
      </c>
    </row>
    <row r="76" spans="1:17" x14ac:dyDescent="0.25">
      <c r="A76" s="1" t="str">
        <f t="shared" si="3"/>
        <v>生命科學暨生物科技學系</v>
      </c>
      <c r="B76" s="1" t="str">
        <f>"0133B022"</f>
        <v>0133B022</v>
      </c>
      <c r="C76" s="1" t="str">
        <f>"董書哲"</f>
        <v>董書哲</v>
      </c>
      <c r="Q76" s="1">
        <v>0</v>
      </c>
    </row>
    <row r="77" spans="1:17" x14ac:dyDescent="0.25">
      <c r="A77" s="1" t="str">
        <f t="shared" si="3"/>
        <v>生命科學暨生物科技學系</v>
      </c>
      <c r="B77" s="1" t="str">
        <f>"0133B023"</f>
        <v>0133B023</v>
      </c>
      <c r="C77" s="1" t="str">
        <f>"郭潔妤"</f>
        <v>郭潔妤</v>
      </c>
      <c r="Q77" s="1">
        <v>0</v>
      </c>
    </row>
    <row r="78" spans="1:17" x14ac:dyDescent="0.25">
      <c r="A78" s="1" t="str">
        <f t="shared" si="3"/>
        <v>生命科學暨生物科技學系</v>
      </c>
      <c r="B78" s="1" t="str">
        <f>"0133B024"</f>
        <v>0133B024</v>
      </c>
      <c r="C78" s="1" t="str">
        <f>"楊璧羽"</f>
        <v>楊璧羽</v>
      </c>
      <c r="Q78" s="1">
        <v>0</v>
      </c>
    </row>
    <row r="79" spans="1:17" x14ac:dyDescent="0.25">
      <c r="A79" s="1" t="str">
        <f t="shared" si="3"/>
        <v>生命科學暨生物科技學系</v>
      </c>
      <c r="B79" s="1" t="str">
        <f>"0133B025"</f>
        <v>0133B025</v>
      </c>
      <c r="C79" s="1" t="str">
        <f>"顏靖軒"</f>
        <v>顏靖軒</v>
      </c>
      <c r="Q79" s="1">
        <v>0</v>
      </c>
    </row>
    <row r="80" spans="1:17" x14ac:dyDescent="0.25">
      <c r="A80" s="1" t="str">
        <f t="shared" si="3"/>
        <v>生命科學暨生物科技學系</v>
      </c>
      <c r="B80" s="1" t="str">
        <f>"0133B026"</f>
        <v>0133B026</v>
      </c>
      <c r="C80" s="1" t="str">
        <f>"黃璿旭"</f>
        <v>黃璿旭</v>
      </c>
      <c r="Q80" s="1">
        <v>0</v>
      </c>
    </row>
    <row r="81" spans="1:17" x14ac:dyDescent="0.25">
      <c r="A81" s="1" t="str">
        <f t="shared" si="3"/>
        <v>生命科學暨生物科技學系</v>
      </c>
      <c r="B81" s="1" t="str">
        <f>"0133B027"</f>
        <v>0133B027</v>
      </c>
      <c r="C81" s="1" t="str">
        <f>"劉昕妮"</f>
        <v>劉昕妮</v>
      </c>
      <c r="Q81" s="1">
        <v>0</v>
      </c>
    </row>
    <row r="82" spans="1:17" x14ac:dyDescent="0.25">
      <c r="A82" s="1" t="str">
        <f t="shared" si="3"/>
        <v>生命科學暨生物科技學系</v>
      </c>
      <c r="B82" s="1" t="str">
        <f>"0133B028"</f>
        <v>0133B028</v>
      </c>
      <c r="C82" s="1" t="str">
        <f>"黃瑜婷"</f>
        <v>黃瑜婷</v>
      </c>
      <c r="Q82" s="1">
        <v>0</v>
      </c>
    </row>
    <row r="83" spans="1:17" x14ac:dyDescent="0.25">
      <c r="A83" s="1" t="str">
        <f t="shared" si="3"/>
        <v>生命科學暨生物科技學系</v>
      </c>
      <c r="B83" s="1" t="str">
        <f>"0133B029"</f>
        <v>0133B029</v>
      </c>
      <c r="C83" s="1" t="str">
        <f>"蔡昀錚"</f>
        <v>蔡昀錚</v>
      </c>
      <c r="E83" s="1" t="s">
        <v>17</v>
      </c>
      <c r="H83" s="1" t="s">
        <v>17</v>
      </c>
      <c r="K83" s="1" t="s">
        <v>17</v>
      </c>
      <c r="N83" s="1" t="s">
        <v>17</v>
      </c>
      <c r="Q83" s="1">
        <v>4</v>
      </c>
    </row>
    <row r="84" spans="1:17" x14ac:dyDescent="0.25">
      <c r="A84" s="1" t="str">
        <f t="shared" si="3"/>
        <v>生命科學暨生物科技學系</v>
      </c>
      <c r="B84" s="1" t="str">
        <f>"0133B032"</f>
        <v>0133B032</v>
      </c>
      <c r="C84" s="1" t="str">
        <f>"李玟葶"</f>
        <v>李玟葶</v>
      </c>
      <c r="Q84" s="1">
        <v>0</v>
      </c>
    </row>
    <row r="85" spans="1:17" x14ac:dyDescent="0.25">
      <c r="A85" s="1" t="str">
        <f t="shared" si="3"/>
        <v>生命科學暨生物科技學系</v>
      </c>
      <c r="B85" s="1" t="str">
        <f>"0133B034"</f>
        <v>0133B034</v>
      </c>
      <c r="C85" s="1" t="str">
        <f>"李品均"</f>
        <v>李品均</v>
      </c>
      <c r="Q85" s="1">
        <v>0</v>
      </c>
    </row>
    <row r="86" spans="1:17" x14ac:dyDescent="0.25">
      <c r="A86" s="1" t="str">
        <f t="shared" si="3"/>
        <v>生命科學暨生物科技學系</v>
      </c>
      <c r="B86" s="1" t="str">
        <f>"0133B035"</f>
        <v>0133B035</v>
      </c>
      <c r="C86" s="1" t="str">
        <f>"王昕瑜"</f>
        <v>王昕瑜</v>
      </c>
      <c r="Q86" s="1">
        <v>0</v>
      </c>
    </row>
    <row r="87" spans="1:17" x14ac:dyDescent="0.25">
      <c r="A87" s="1" t="str">
        <f t="shared" si="3"/>
        <v>生命科學暨生物科技學系</v>
      </c>
      <c r="B87" s="1" t="str">
        <f>"0133B037"</f>
        <v>0133B037</v>
      </c>
      <c r="C87" s="1" t="str">
        <f>"謝之寧"</f>
        <v>謝之寧</v>
      </c>
      <c r="Q87" s="1">
        <v>0</v>
      </c>
    </row>
    <row r="88" spans="1:17" x14ac:dyDescent="0.25">
      <c r="A88" s="1" t="str">
        <f t="shared" si="3"/>
        <v>生命科學暨生物科技學系</v>
      </c>
      <c r="B88" s="1" t="str">
        <f>"0133B038"</f>
        <v>0133B038</v>
      </c>
      <c r="C88" s="1" t="str">
        <f>"吳品翰"</f>
        <v>吳品翰</v>
      </c>
      <c r="Q88" s="1">
        <v>0</v>
      </c>
    </row>
    <row r="89" spans="1:17" x14ac:dyDescent="0.25">
      <c r="A89" s="1" t="str">
        <f t="shared" si="3"/>
        <v>生命科學暨生物科技學系</v>
      </c>
      <c r="B89" s="1" t="str">
        <f>"0133B039"</f>
        <v>0133B039</v>
      </c>
      <c r="C89" s="1" t="str">
        <f>"吳竣庭"</f>
        <v>吳竣庭</v>
      </c>
      <c r="Q89" s="1">
        <v>0</v>
      </c>
    </row>
    <row r="90" spans="1:17" x14ac:dyDescent="0.25">
      <c r="A90" s="1" t="str">
        <f t="shared" si="3"/>
        <v>生命科學暨生物科技學系</v>
      </c>
      <c r="B90" s="1" t="str">
        <f>"0133B041"</f>
        <v>0133B041</v>
      </c>
      <c r="C90" s="1" t="str">
        <f>"林彤恩"</f>
        <v>林彤恩</v>
      </c>
      <c r="Q90" s="1">
        <v>0</v>
      </c>
    </row>
    <row r="91" spans="1:17" x14ac:dyDescent="0.25">
      <c r="A91" s="1" t="str">
        <f t="shared" si="3"/>
        <v>生命科學暨生物科技學系</v>
      </c>
      <c r="B91" s="1" t="str">
        <f>"0133B043"</f>
        <v>0133B043</v>
      </c>
      <c r="C91" s="1" t="str">
        <f>"吳彥誼"</f>
        <v>吳彥誼</v>
      </c>
      <c r="Q91" s="1">
        <v>0</v>
      </c>
    </row>
    <row r="92" spans="1:17" x14ac:dyDescent="0.25">
      <c r="A92" s="1" t="str">
        <f t="shared" si="3"/>
        <v>生命科學暨生物科技學系</v>
      </c>
      <c r="B92" s="1" t="str">
        <f>"0133B044"</f>
        <v>0133B044</v>
      </c>
      <c r="C92" s="1" t="str">
        <f>"李元彤"</f>
        <v>李元彤</v>
      </c>
      <c r="Q92" s="1">
        <v>0</v>
      </c>
    </row>
    <row r="93" spans="1:17" x14ac:dyDescent="0.25">
      <c r="A93" s="2" t="s">
        <v>0</v>
      </c>
      <c r="B93" s="2" t="s">
        <v>1</v>
      </c>
      <c r="C93" s="2" t="s">
        <v>2</v>
      </c>
      <c r="D93" s="3" t="s">
        <v>4</v>
      </c>
      <c r="E93" s="3" t="s">
        <v>5</v>
      </c>
      <c r="F93" s="3" t="s">
        <v>6</v>
      </c>
      <c r="G93" s="3" t="s">
        <v>7</v>
      </c>
      <c r="H93" s="3" t="s">
        <v>8</v>
      </c>
      <c r="I93" s="3" t="s">
        <v>9</v>
      </c>
      <c r="J93" s="3" t="s">
        <v>10</v>
      </c>
      <c r="K93" s="3" t="s">
        <v>11</v>
      </c>
      <c r="L93" s="3" t="s">
        <v>12</v>
      </c>
      <c r="M93" s="3" t="s">
        <v>13</v>
      </c>
      <c r="N93" s="3" t="s">
        <v>14</v>
      </c>
      <c r="O93" s="3" t="s">
        <v>15</v>
      </c>
      <c r="P93" s="3" t="s">
        <v>16</v>
      </c>
      <c r="Q93" s="4" t="s">
        <v>3</v>
      </c>
    </row>
    <row r="94" spans="1:17" x14ac:dyDescent="0.25">
      <c r="A94" s="1" t="str">
        <f t="shared" ref="A94:A100" si="4">"生命科學暨生物科技學系"</f>
        <v>生命科學暨生物科技學系</v>
      </c>
      <c r="B94" s="1" t="str">
        <f>"0133B046"</f>
        <v>0133B046</v>
      </c>
      <c r="C94" s="1" t="str">
        <f>"楊智翔"</f>
        <v>楊智翔</v>
      </c>
      <c r="D94" s="1" t="str">
        <f>""</f>
        <v/>
      </c>
      <c r="E94" s="1" t="s">
        <v>17</v>
      </c>
      <c r="H94" s="1" t="s">
        <v>17</v>
      </c>
      <c r="K94" s="1" t="s">
        <v>17</v>
      </c>
      <c r="N94" s="1" t="s">
        <v>17</v>
      </c>
      <c r="Q94" s="1">
        <v>4</v>
      </c>
    </row>
    <row r="95" spans="1:17" x14ac:dyDescent="0.25">
      <c r="A95" s="1" t="str">
        <f t="shared" si="4"/>
        <v>生命科學暨生物科技學系</v>
      </c>
      <c r="B95" s="1" t="str">
        <f>"0133B047"</f>
        <v>0133B047</v>
      </c>
      <c r="C95" s="1" t="str">
        <f>"賴廉凱"</f>
        <v>賴廉凱</v>
      </c>
      <c r="D95" s="1" t="str">
        <f>""</f>
        <v/>
      </c>
      <c r="Q95" s="1">
        <v>0</v>
      </c>
    </row>
    <row r="96" spans="1:17" x14ac:dyDescent="0.25">
      <c r="A96" s="1" t="str">
        <f t="shared" si="4"/>
        <v>生命科學暨生物科技學系</v>
      </c>
      <c r="B96" s="1" t="str">
        <f>"0133B048"</f>
        <v>0133B048</v>
      </c>
      <c r="C96" s="1" t="str">
        <f>"艾玳爾"</f>
        <v>艾玳爾</v>
      </c>
      <c r="D96" s="1" t="str">
        <f>""</f>
        <v/>
      </c>
      <c r="Q96" s="1">
        <v>0</v>
      </c>
    </row>
    <row r="97" spans="1:17" x14ac:dyDescent="0.25">
      <c r="A97" s="1" t="str">
        <f t="shared" si="4"/>
        <v>生命科學暨生物科技學系</v>
      </c>
      <c r="B97" s="1" t="str">
        <f>"0133B049"</f>
        <v>0133B049</v>
      </c>
      <c r="C97" s="1" t="str">
        <f>"葉欣然"</f>
        <v>葉欣然</v>
      </c>
      <c r="D97" s="1" t="str">
        <f>""</f>
        <v/>
      </c>
      <c r="Q97" s="1">
        <v>0</v>
      </c>
    </row>
    <row r="98" spans="1:17" x14ac:dyDescent="0.25">
      <c r="A98" s="1" t="str">
        <f t="shared" si="4"/>
        <v>生命科學暨生物科技學系</v>
      </c>
      <c r="B98" s="1" t="str">
        <f>"0133B050"</f>
        <v>0133B050</v>
      </c>
      <c r="C98" s="1" t="str">
        <f>"謝蓮新"</f>
        <v>謝蓮新</v>
      </c>
      <c r="D98" s="1" t="str">
        <f>""</f>
        <v/>
      </c>
      <c r="Q98" s="1">
        <v>0</v>
      </c>
    </row>
    <row r="99" spans="1:17" x14ac:dyDescent="0.25">
      <c r="A99" s="1" t="str">
        <f t="shared" si="4"/>
        <v>生命科學暨生物科技學系</v>
      </c>
      <c r="B99" s="1" t="str">
        <f>"0133B051"</f>
        <v>0133B051</v>
      </c>
      <c r="C99" s="1" t="str">
        <f>"鄺芸慧"</f>
        <v>鄺芸慧</v>
      </c>
      <c r="D99" s="1" t="str">
        <f>""</f>
        <v/>
      </c>
      <c r="Q99" s="1">
        <v>0</v>
      </c>
    </row>
    <row r="100" spans="1:17" x14ac:dyDescent="0.25">
      <c r="A100" s="1" t="str">
        <f t="shared" si="4"/>
        <v>生命科學暨生物科技學系</v>
      </c>
      <c r="B100" s="1" t="str">
        <f>"0133B053"</f>
        <v>0133B053</v>
      </c>
      <c r="C100" s="1" t="str">
        <f>"李俊賢"</f>
        <v>李俊賢</v>
      </c>
      <c r="D100" s="1" t="str">
        <f>""</f>
        <v/>
      </c>
      <c r="Q100" s="1">
        <v>0</v>
      </c>
    </row>
    <row r="101" spans="1:17" x14ac:dyDescent="0.25">
      <c r="D101" s="1" t="str">
        <f>""</f>
        <v/>
      </c>
    </row>
    <row r="102" spans="1:17" x14ac:dyDescent="0.25">
      <c r="D102" s="1" t="str">
        <f>""</f>
        <v/>
      </c>
    </row>
    <row r="103" spans="1:17" x14ac:dyDescent="0.25">
      <c r="D103" s="1" t="str">
        <f>""</f>
        <v/>
      </c>
    </row>
    <row r="104" spans="1:17" x14ac:dyDescent="0.25">
      <c r="D104" s="1" t="str">
        <f>""</f>
        <v/>
      </c>
    </row>
    <row r="105" spans="1:17" x14ac:dyDescent="0.25">
      <c r="D105" s="1" t="str">
        <f>""</f>
        <v/>
      </c>
    </row>
    <row r="106" spans="1:17" x14ac:dyDescent="0.25">
      <c r="D106" s="1" t="str">
        <f>""</f>
        <v/>
      </c>
    </row>
    <row r="107" spans="1:17" x14ac:dyDescent="0.25">
      <c r="D107" s="1" t="str">
        <f>""</f>
        <v/>
      </c>
    </row>
    <row r="108" spans="1:17" x14ac:dyDescent="0.25">
      <c r="D108" s="1" t="str">
        <f>""</f>
        <v/>
      </c>
    </row>
    <row r="109" spans="1:17" x14ac:dyDescent="0.25">
      <c r="D109" s="1" t="str">
        <f>""</f>
        <v/>
      </c>
    </row>
    <row r="110" spans="1:17" x14ac:dyDescent="0.25">
      <c r="D110" s="1" t="str">
        <f>""</f>
        <v/>
      </c>
    </row>
    <row r="111" spans="1:17" x14ac:dyDescent="0.25">
      <c r="D111" s="1" t="str">
        <f>""</f>
        <v/>
      </c>
    </row>
    <row r="112" spans="1:17" x14ac:dyDescent="0.25">
      <c r="D112" s="1" t="str">
        <f>""</f>
        <v/>
      </c>
    </row>
    <row r="113" spans="4:4" x14ac:dyDescent="0.25">
      <c r="D113" s="1" t="str">
        <f>""</f>
        <v/>
      </c>
    </row>
    <row r="114" spans="4:4" x14ac:dyDescent="0.25">
      <c r="D114" s="1" t="str">
        <f>""</f>
        <v/>
      </c>
    </row>
    <row r="115" spans="4:4" x14ac:dyDescent="0.25">
      <c r="D115" s="1" t="str">
        <f>""</f>
        <v/>
      </c>
    </row>
    <row r="116" spans="4:4" x14ac:dyDescent="0.25">
      <c r="D116" s="1" t="str">
        <f>""</f>
        <v/>
      </c>
    </row>
    <row r="117" spans="4:4" x14ac:dyDescent="0.25">
      <c r="D117" s="1" t="str">
        <f>""</f>
        <v/>
      </c>
    </row>
    <row r="118" spans="4:4" x14ac:dyDescent="0.25">
      <c r="D118" s="1" t="str">
        <f>""</f>
        <v/>
      </c>
    </row>
    <row r="119" spans="4:4" x14ac:dyDescent="0.25">
      <c r="D119" s="1" t="str">
        <f>""</f>
        <v/>
      </c>
    </row>
    <row r="120" spans="4:4" x14ac:dyDescent="0.25">
      <c r="D120" s="1" t="str">
        <f>""</f>
        <v/>
      </c>
    </row>
    <row r="121" spans="4:4" x14ac:dyDescent="0.25">
      <c r="D121" s="1" t="str">
        <f>""</f>
        <v/>
      </c>
    </row>
    <row r="122" spans="4:4" x14ac:dyDescent="0.25">
      <c r="D122" s="1" t="str">
        <f>""</f>
        <v/>
      </c>
    </row>
    <row r="123" spans="4:4" x14ac:dyDescent="0.25">
      <c r="D123" s="1" t="str">
        <f>""</f>
        <v/>
      </c>
    </row>
    <row r="124" spans="4:4" x14ac:dyDescent="0.25">
      <c r="D124" s="1" t="str">
        <f>""</f>
        <v/>
      </c>
    </row>
    <row r="125" spans="4:4" x14ac:dyDescent="0.25">
      <c r="D125" s="1" t="str">
        <f>""</f>
        <v/>
      </c>
    </row>
    <row r="126" spans="4:4" x14ac:dyDescent="0.25">
      <c r="D126" s="1" t="str">
        <f>""</f>
        <v/>
      </c>
    </row>
    <row r="127" spans="4:4" x14ac:dyDescent="0.25">
      <c r="D127" s="1" t="str">
        <f>""</f>
        <v/>
      </c>
    </row>
    <row r="128" spans="4:4" x14ac:dyDescent="0.25">
      <c r="D128" s="1" t="str">
        <f>""</f>
        <v/>
      </c>
    </row>
    <row r="129" spans="4:4" x14ac:dyDescent="0.25">
      <c r="D129" s="1" t="str">
        <f>""</f>
        <v/>
      </c>
    </row>
  </sheetData>
  <phoneticPr fontId="1" type="noConversion"/>
  <pageMargins left="0.45" right="0.2" top="0.74803140000000001" bottom="1.2480313999999999" header="0.3" footer="0.3"/>
  <pageSetup paperSize="9" orientation="portrait" r:id="rId1"/>
  <headerFooter>
    <oddHeader>&amp;C1132化學補強教學出席率登記本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A_1132養殖系129_白</vt:lpstr>
      <vt:lpstr>B_1132食科系138_綠</vt:lpstr>
      <vt:lpstr>C_1132環漁海洋119_紫</vt:lpstr>
      <vt:lpstr>D_1132生科海生技96_黃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佩瑛</dc:creator>
  <cp:lastModifiedBy>承澤 謝</cp:lastModifiedBy>
  <cp:lastPrinted>2025-02-18T08:40:27Z</cp:lastPrinted>
  <dcterms:created xsi:type="dcterms:W3CDTF">2015-09-25T08:04:16Z</dcterms:created>
  <dcterms:modified xsi:type="dcterms:W3CDTF">2025-05-27T18:20:33Z</dcterms:modified>
</cp:coreProperties>
</file>