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20" windowHeight="9260" tabRatio="839" firstSheet="2" activeTab="7"/>
  </bookViews>
  <sheets>
    <sheet name="01_1061養殖系(白)" sheetId="10" r:id="rId1"/>
    <sheet name="02_1061食科系(紅)" sheetId="11" r:id="rId2"/>
    <sheet name="03_1061輪機系(黃)" sheetId="12" r:id="rId3"/>
    <sheet name="04_1061機械系(藍)" sheetId="13" r:id="rId4"/>
    <sheet name="05_1061光電海洋工程_馬祖海工(橘)" sheetId="14" r:id="rId5"/>
    <sheet name="06_1061生科_馬祖海生(紫)" sheetId="16" r:id="rId6"/>
    <sheet name="07_1061海洋環漁(淺黃)" sheetId="17" r:id="rId7"/>
    <sheet name="整合版本" sheetId="18" r:id="rId8"/>
  </sheets>
  <calcPr calcId="145621"/>
</workbook>
</file>

<file path=xl/calcChain.xml><?xml version="1.0" encoding="utf-8"?>
<calcChain xmlns="http://schemas.openxmlformats.org/spreadsheetml/2006/main">
  <c r="B113" i="18" l="1"/>
  <c r="C100" i="18" l="1"/>
  <c r="C99" i="18"/>
  <c r="C96" i="18"/>
  <c r="C95" i="18"/>
  <c r="C94" i="18"/>
  <c r="A72" i="18"/>
  <c r="A46" i="18"/>
  <c r="A44" i="18"/>
  <c r="A43" i="18"/>
  <c r="A40" i="18"/>
  <c r="A34" i="18"/>
  <c r="A3" i="18"/>
  <c r="B101" i="18"/>
  <c r="T88" i="18"/>
  <c r="B87" i="18"/>
  <c r="B86" i="18"/>
  <c r="B85" i="18"/>
  <c r="B84" i="18"/>
  <c r="B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C45" i="18"/>
  <c r="B45" i="18"/>
  <c r="A45" i="18"/>
  <c r="A30" i="16"/>
  <c r="C44" i="18"/>
  <c r="B44" i="18"/>
  <c r="C43" i="18"/>
  <c r="B43" i="18"/>
  <c r="B42" i="18"/>
  <c r="C41" i="18"/>
  <c r="B41" i="18"/>
  <c r="A41" i="18"/>
  <c r="C40" i="18"/>
  <c r="B40" i="18"/>
  <c r="B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C23" i="18"/>
  <c r="B23" i="18"/>
  <c r="A23" i="18"/>
  <c r="C22" i="18"/>
  <c r="B22" i="18"/>
  <c r="A22" i="18"/>
  <c r="C21" i="18"/>
  <c r="B21" i="18"/>
  <c r="A21" i="18"/>
  <c r="C20" i="18"/>
  <c r="B20" i="18"/>
  <c r="A20" i="18"/>
  <c r="C19" i="18"/>
  <c r="B19" i="18"/>
  <c r="A19" i="18"/>
  <c r="C18" i="18"/>
  <c r="B18" i="18"/>
  <c r="A18" i="18"/>
  <c r="C17" i="18"/>
  <c r="B17" i="18"/>
  <c r="A17" i="18"/>
  <c r="C16" i="18"/>
  <c r="B16" i="18"/>
  <c r="A16" i="18"/>
  <c r="C15" i="18"/>
  <c r="B15" i="18"/>
  <c r="A15" i="18"/>
  <c r="C14" i="18"/>
  <c r="B14" i="18"/>
  <c r="A14" i="18"/>
  <c r="C13" i="18"/>
  <c r="B13" i="18"/>
  <c r="A13" i="18"/>
  <c r="C12" i="18"/>
  <c r="B12" i="18"/>
  <c r="A12" i="18"/>
  <c r="C11" i="18"/>
  <c r="B11" i="18"/>
  <c r="A11" i="18"/>
  <c r="C10" i="18"/>
  <c r="B10" i="18"/>
  <c r="A10" i="18"/>
  <c r="C9" i="18"/>
  <c r="B9" i="18"/>
  <c r="A9" i="18"/>
  <c r="C8" i="18"/>
  <c r="B8" i="18"/>
  <c r="A8" i="18"/>
  <c r="C7" i="18"/>
  <c r="B7" i="18"/>
  <c r="A7" i="18"/>
  <c r="C6" i="18"/>
  <c r="B6" i="18"/>
  <c r="A6" i="18"/>
  <c r="C5" i="18"/>
  <c r="B5" i="18"/>
  <c r="A5" i="18"/>
  <c r="C4" i="18"/>
  <c r="B4" i="18"/>
  <c r="A4" i="18"/>
  <c r="C3" i="18"/>
  <c r="B3" i="18"/>
  <c r="C101" i="18" l="1"/>
  <c r="B115" i="17" l="1"/>
  <c r="B114" i="17"/>
  <c r="B116" i="17"/>
  <c r="B113" i="17"/>
  <c r="B112" i="17"/>
  <c r="B111" i="17"/>
  <c r="B106" i="12"/>
  <c r="B115" i="11"/>
  <c r="A49" i="11" l="1"/>
  <c r="B49" i="11"/>
  <c r="C49" i="11"/>
  <c r="A96" i="10"/>
  <c r="B96" i="10"/>
  <c r="C96" i="10"/>
  <c r="C66" i="14" l="1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110" i="17"/>
  <c r="B110" i="17"/>
  <c r="A110" i="17"/>
  <c r="C109" i="17"/>
  <c r="B109" i="17"/>
  <c r="A109" i="17"/>
  <c r="C108" i="17"/>
  <c r="B108" i="17"/>
  <c r="A108" i="17"/>
  <c r="C107" i="17"/>
  <c r="B107" i="17"/>
  <c r="A107" i="17"/>
  <c r="C106" i="17"/>
  <c r="B106" i="17"/>
  <c r="A106" i="17"/>
  <c r="C105" i="17"/>
  <c r="B105" i="17"/>
  <c r="A105" i="17"/>
  <c r="C104" i="17"/>
  <c r="B104" i="17"/>
  <c r="A104" i="17"/>
  <c r="C103" i="17"/>
  <c r="B103" i="17"/>
  <c r="A103" i="17"/>
  <c r="C102" i="17"/>
  <c r="B102" i="17"/>
  <c r="A102" i="17"/>
  <c r="C101" i="17"/>
  <c r="B101" i="17"/>
  <c r="A101" i="17"/>
  <c r="C100" i="17"/>
  <c r="B100" i="17"/>
  <c r="A100" i="17"/>
  <c r="C99" i="17"/>
  <c r="B99" i="17"/>
  <c r="A99" i="17"/>
  <c r="C98" i="17"/>
  <c r="B98" i="17"/>
  <c r="A98" i="17"/>
  <c r="C97" i="17"/>
  <c r="B97" i="17"/>
  <c r="A97" i="17"/>
  <c r="C96" i="17"/>
  <c r="B96" i="17"/>
  <c r="A96" i="17"/>
  <c r="C94" i="17"/>
  <c r="B94" i="17"/>
  <c r="A94" i="17"/>
  <c r="C93" i="17"/>
  <c r="B93" i="17"/>
  <c r="A93" i="17"/>
  <c r="C92" i="17"/>
  <c r="B92" i="17"/>
  <c r="A92" i="17"/>
  <c r="C91" i="17"/>
  <c r="B91" i="17"/>
  <c r="A91" i="17"/>
  <c r="C90" i="17"/>
  <c r="B90" i="17"/>
  <c r="A90" i="17"/>
  <c r="C89" i="17"/>
  <c r="B89" i="17"/>
  <c r="A89" i="17"/>
  <c r="C88" i="17"/>
  <c r="B88" i="17"/>
  <c r="A88" i="17"/>
  <c r="C87" i="17"/>
  <c r="B87" i="17"/>
  <c r="A87" i="17"/>
  <c r="C86" i="17"/>
  <c r="B86" i="17"/>
  <c r="A86" i="17"/>
  <c r="C85" i="17"/>
  <c r="B85" i="17"/>
  <c r="A85" i="17"/>
  <c r="C84" i="17"/>
  <c r="B84" i="17"/>
  <c r="A84" i="17"/>
  <c r="C83" i="17"/>
  <c r="B83" i="17"/>
  <c r="A83" i="17"/>
  <c r="C82" i="17"/>
  <c r="B82" i="17"/>
  <c r="A82" i="17"/>
  <c r="C81" i="17"/>
  <c r="B81" i="17"/>
  <c r="A81" i="17"/>
  <c r="C80" i="17"/>
  <c r="B80" i="17"/>
  <c r="A80" i="17"/>
  <c r="C79" i="17"/>
  <c r="B79" i="17"/>
  <c r="A79" i="17"/>
  <c r="C78" i="17"/>
  <c r="B78" i="17"/>
  <c r="A78" i="17"/>
  <c r="C77" i="17"/>
  <c r="B77" i="17"/>
  <c r="A77" i="17"/>
  <c r="C76" i="17"/>
  <c r="B76" i="17"/>
  <c r="A76" i="17"/>
  <c r="C75" i="17"/>
  <c r="B75" i="17"/>
  <c r="A75" i="17"/>
  <c r="C74" i="17"/>
  <c r="B74" i="17"/>
  <c r="A74" i="17"/>
  <c r="C73" i="17"/>
  <c r="B73" i="17"/>
  <c r="A73" i="17"/>
  <c r="C72" i="17"/>
  <c r="B72" i="17"/>
  <c r="A72" i="17"/>
  <c r="C71" i="17"/>
  <c r="B71" i="17"/>
  <c r="A71" i="17"/>
  <c r="C70" i="17"/>
  <c r="B70" i="17"/>
  <c r="A70" i="17"/>
  <c r="C69" i="17"/>
  <c r="B69" i="17"/>
  <c r="A69" i="17"/>
  <c r="C68" i="17"/>
  <c r="B68" i="17"/>
  <c r="A68" i="17"/>
  <c r="C67" i="17"/>
  <c r="B67" i="17"/>
  <c r="A67" i="17"/>
  <c r="C66" i="17"/>
  <c r="B66" i="17"/>
  <c r="A66" i="17"/>
  <c r="C65" i="17"/>
  <c r="B65" i="17"/>
  <c r="A65" i="17"/>
  <c r="C64" i="17"/>
  <c r="B64" i="17"/>
  <c r="A64" i="17"/>
  <c r="C63" i="17"/>
  <c r="B63" i="17"/>
  <c r="A63" i="17"/>
  <c r="C62" i="17"/>
  <c r="B62" i="17"/>
  <c r="A62" i="17"/>
  <c r="C61" i="17"/>
  <c r="B61" i="17"/>
  <c r="A61" i="17"/>
  <c r="C60" i="17"/>
  <c r="B60" i="17"/>
  <c r="A60" i="17"/>
  <c r="C59" i="17"/>
  <c r="B59" i="17"/>
  <c r="A59" i="17"/>
  <c r="C58" i="17"/>
  <c r="B58" i="17"/>
  <c r="A58" i="17"/>
  <c r="C57" i="17"/>
  <c r="B57" i="17"/>
  <c r="A57" i="17"/>
  <c r="C56" i="17"/>
  <c r="B56" i="17"/>
  <c r="A56" i="17"/>
  <c r="C55" i="17"/>
  <c r="B55" i="17"/>
  <c r="A55" i="17"/>
  <c r="C54" i="17"/>
  <c r="B54" i="17"/>
  <c r="A54" i="17"/>
  <c r="C53" i="17"/>
  <c r="B53" i="17"/>
  <c r="A53" i="17"/>
  <c r="C52" i="17"/>
  <c r="B52" i="17"/>
  <c r="A52" i="17"/>
  <c r="C51" i="17"/>
  <c r="B51" i="17"/>
  <c r="A51" i="17"/>
  <c r="C50" i="17"/>
  <c r="B50" i="17"/>
  <c r="A50" i="17"/>
  <c r="C49" i="17"/>
  <c r="B49" i="17"/>
  <c r="A49" i="17"/>
  <c r="C47" i="17"/>
  <c r="B47" i="17"/>
  <c r="A47" i="17"/>
  <c r="C46" i="17"/>
  <c r="B46" i="17"/>
  <c r="A46" i="17"/>
  <c r="C45" i="17"/>
  <c r="B45" i="17"/>
  <c r="A45" i="17"/>
  <c r="C44" i="17"/>
  <c r="B44" i="17"/>
  <c r="A44" i="17"/>
  <c r="C43" i="17"/>
  <c r="B43" i="17"/>
  <c r="A43" i="17"/>
  <c r="C42" i="17"/>
  <c r="B42" i="17"/>
  <c r="A42" i="17"/>
  <c r="C41" i="17"/>
  <c r="B41" i="17"/>
  <c r="A41" i="17"/>
  <c r="C40" i="17"/>
  <c r="B40" i="17"/>
  <c r="A40" i="17"/>
  <c r="C39" i="17"/>
  <c r="B39" i="17"/>
  <c r="A39" i="17"/>
  <c r="C38" i="17"/>
  <c r="B38" i="17"/>
  <c r="A38" i="17"/>
  <c r="C37" i="17"/>
  <c r="B37" i="17"/>
  <c r="A37" i="17"/>
  <c r="C36" i="17"/>
  <c r="B36" i="17"/>
  <c r="A36" i="17"/>
  <c r="C35" i="17"/>
  <c r="B35" i="17"/>
  <c r="A35" i="17"/>
  <c r="C34" i="17"/>
  <c r="B34" i="17"/>
  <c r="A34" i="17"/>
  <c r="C33" i="17"/>
  <c r="B33" i="17"/>
  <c r="A33" i="17"/>
  <c r="C32" i="17"/>
  <c r="B32" i="17"/>
  <c r="A32" i="17"/>
  <c r="C31" i="17"/>
  <c r="B31" i="17"/>
  <c r="A31" i="17"/>
  <c r="C30" i="17"/>
  <c r="B30" i="17"/>
  <c r="A30" i="17"/>
  <c r="C29" i="17"/>
  <c r="B29" i="17"/>
  <c r="A29" i="17"/>
  <c r="C28" i="17"/>
  <c r="B28" i="17"/>
  <c r="A28" i="17"/>
  <c r="C27" i="17"/>
  <c r="B27" i="17"/>
  <c r="A27" i="1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15" i="17"/>
  <c r="B15" i="17"/>
  <c r="A15" i="17"/>
  <c r="C14" i="17"/>
  <c r="B14" i="17"/>
  <c r="A14" i="17"/>
  <c r="C13" i="17"/>
  <c r="B13" i="17"/>
  <c r="A13" i="17"/>
  <c r="C12" i="17"/>
  <c r="B12" i="17"/>
  <c r="A12" i="17"/>
  <c r="C11" i="17"/>
  <c r="B11" i="17"/>
  <c r="A11" i="17"/>
  <c r="C10" i="17"/>
  <c r="B10" i="17"/>
  <c r="A10" i="17"/>
  <c r="C9" i="17"/>
  <c r="B9" i="17"/>
  <c r="A9" i="17"/>
  <c r="C8" i="17"/>
  <c r="B8" i="17"/>
  <c r="A8" i="17"/>
  <c r="C7" i="17"/>
  <c r="B7" i="17"/>
  <c r="A7" i="17"/>
  <c r="C6" i="17"/>
  <c r="B6" i="17"/>
  <c r="A6" i="17"/>
  <c r="C5" i="17"/>
  <c r="B5" i="17"/>
  <c r="A5" i="17"/>
  <c r="C4" i="17"/>
  <c r="B4" i="17"/>
  <c r="A4" i="17"/>
  <c r="C3" i="17"/>
  <c r="B3" i="17"/>
  <c r="A3" i="17"/>
  <c r="C89" i="16"/>
  <c r="B89" i="16"/>
  <c r="A89" i="16"/>
  <c r="C88" i="16"/>
  <c r="B88" i="16"/>
  <c r="A88" i="16"/>
  <c r="C87" i="16"/>
  <c r="B87" i="16"/>
  <c r="A87" i="16"/>
  <c r="C86" i="16"/>
  <c r="B86" i="16"/>
  <c r="A86" i="16"/>
  <c r="C85" i="16"/>
  <c r="B85" i="16"/>
  <c r="A85" i="16"/>
  <c r="C84" i="16"/>
  <c r="B84" i="16"/>
  <c r="A84" i="16"/>
  <c r="C83" i="16"/>
  <c r="B83" i="16"/>
  <c r="A83" i="16"/>
  <c r="C82" i="16"/>
  <c r="B82" i="16"/>
  <c r="A82" i="16"/>
  <c r="C81" i="16"/>
  <c r="B81" i="16"/>
  <c r="A81" i="16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C74" i="16"/>
  <c r="B74" i="16"/>
  <c r="A74" i="16"/>
  <c r="C73" i="16"/>
  <c r="B73" i="16"/>
  <c r="A73" i="16"/>
  <c r="C72" i="16"/>
  <c r="B72" i="16"/>
  <c r="A72" i="16"/>
  <c r="C71" i="16"/>
  <c r="B71" i="16"/>
  <c r="A71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C64" i="16"/>
  <c r="B64" i="16"/>
  <c r="A64" i="16"/>
  <c r="C63" i="16"/>
  <c r="B63" i="16"/>
  <c r="A63" i="16"/>
  <c r="C62" i="16"/>
  <c r="B62" i="16"/>
  <c r="A62" i="16"/>
  <c r="C61" i="16"/>
  <c r="B61" i="16"/>
  <c r="A61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C54" i="16"/>
  <c r="B54" i="16"/>
  <c r="A54" i="16"/>
  <c r="C53" i="16"/>
  <c r="B53" i="16"/>
  <c r="A53" i="16"/>
  <c r="C52" i="16"/>
  <c r="B52" i="16"/>
  <c r="A52" i="16"/>
  <c r="C51" i="16"/>
  <c r="B51" i="16"/>
  <c r="A51" i="16"/>
  <c r="C50" i="16"/>
  <c r="B50" i="16"/>
  <c r="A50" i="16"/>
  <c r="C49" i="16"/>
  <c r="B49" i="16"/>
  <c r="A49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C43" i="16"/>
  <c r="B43" i="16"/>
  <c r="A43" i="16"/>
  <c r="C42" i="16"/>
  <c r="B42" i="16"/>
  <c r="A42" i="16"/>
  <c r="C41" i="16"/>
  <c r="B41" i="16"/>
  <c r="A41" i="16"/>
  <c r="C40" i="16"/>
  <c r="B40" i="16"/>
  <c r="A40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C32" i="16"/>
  <c r="B32" i="16"/>
  <c r="A32" i="16"/>
  <c r="C31" i="16"/>
  <c r="B31" i="16"/>
  <c r="A31" i="16"/>
  <c r="C30" i="16"/>
  <c r="B30" i="16"/>
  <c r="C29" i="16"/>
  <c r="B29" i="16"/>
  <c r="A29" i="16"/>
  <c r="C28" i="16"/>
  <c r="B28" i="16"/>
  <c r="A28" i="16"/>
  <c r="C27" i="16"/>
  <c r="B27" i="16"/>
  <c r="A27" i="16"/>
  <c r="C26" i="16"/>
  <c r="B26" i="16"/>
  <c r="A26" i="16"/>
  <c r="C25" i="16"/>
  <c r="B25" i="16"/>
  <c r="A25" i="16"/>
  <c r="C24" i="16"/>
  <c r="B24" i="16"/>
  <c r="A24" i="16"/>
  <c r="C23" i="16"/>
  <c r="B23" i="16"/>
  <c r="A23" i="16"/>
  <c r="C22" i="16"/>
  <c r="B22" i="16"/>
  <c r="A22" i="16"/>
  <c r="C21" i="16"/>
  <c r="B21" i="16"/>
  <c r="A21" i="16"/>
  <c r="C20" i="16"/>
  <c r="B20" i="16"/>
  <c r="A20" i="16"/>
  <c r="C19" i="16"/>
  <c r="B19" i="16"/>
  <c r="A19" i="16"/>
  <c r="C18" i="16"/>
  <c r="B18" i="16"/>
  <c r="A18" i="16"/>
  <c r="C17" i="16"/>
  <c r="B17" i="16"/>
  <c r="A17" i="16"/>
  <c r="C16" i="16"/>
  <c r="B16" i="16"/>
  <c r="A16" i="16"/>
  <c r="C15" i="16"/>
  <c r="B15" i="16"/>
  <c r="A15" i="16"/>
  <c r="C14" i="16"/>
  <c r="B14" i="16"/>
  <c r="A14" i="16"/>
  <c r="C13" i="16"/>
  <c r="B13" i="16"/>
  <c r="A13" i="16"/>
  <c r="C12" i="16"/>
  <c r="B12" i="16"/>
  <c r="A12" i="16"/>
  <c r="C11" i="16"/>
  <c r="B11" i="16"/>
  <c r="A11" i="16"/>
  <c r="C10" i="16"/>
  <c r="B10" i="16"/>
  <c r="A10" i="16"/>
  <c r="C9" i="16"/>
  <c r="B9" i="16"/>
  <c r="A9" i="16"/>
  <c r="C8" i="16"/>
  <c r="B8" i="16"/>
  <c r="A8" i="16"/>
  <c r="C7" i="16"/>
  <c r="B7" i="16"/>
  <c r="A7" i="16"/>
  <c r="C6" i="16"/>
  <c r="B6" i="16"/>
  <c r="A6" i="16"/>
  <c r="C5" i="16"/>
  <c r="B5" i="16"/>
  <c r="A5" i="16"/>
  <c r="C4" i="16"/>
  <c r="B4" i="16"/>
  <c r="A4" i="16"/>
  <c r="C3" i="16"/>
  <c r="B3" i="16"/>
  <c r="A3" i="16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99" i="13"/>
  <c r="B99" i="13"/>
  <c r="A99" i="13"/>
  <c r="C98" i="13"/>
  <c r="B98" i="13"/>
  <c r="A98" i="13"/>
  <c r="C97" i="13"/>
  <c r="B97" i="13"/>
  <c r="A97" i="13"/>
  <c r="C96" i="13"/>
  <c r="B96" i="13"/>
  <c r="A96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</calcChain>
</file>

<file path=xl/sharedStrings.xml><?xml version="1.0" encoding="utf-8"?>
<sst xmlns="http://schemas.openxmlformats.org/spreadsheetml/2006/main" count="747" uniqueCount="96">
  <si>
    <t>系級</t>
  </si>
  <si>
    <t>學號</t>
  </si>
  <si>
    <t xml:space="preserve"> 查詢條件：學年度-1061 課名-普通化學(一)  課號-B3301L6L 開課班級-A</t>
  </si>
  <si>
    <t>中文姓名</t>
  </si>
  <si>
    <t xml:space="preserve"> 查詢條件：學年度-1061 課名-普通化學(一) 課號-B3901L6L 開課班級-A</t>
  </si>
  <si>
    <t xml:space="preserve"> 查詢條件：學年度-1061 課名-普通化學(一) 課號-B6A01L6L 開課班級-A</t>
  </si>
  <si>
    <t xml:space="preserve"> 查詢條件：學年度-1061 課名-普通化學(一) 課號-B7201L6L 開課班級-A</t>
  </si>
  <si>
    <t xml:space="preserve"> 查詢條件：學年度-1061 課名-普通化學(一) 課號-B8801L6L 開課班級-A</t>
  </si>
  <si>
    <t xml:space="preserve"> 查詢條件：學年度-1061 課名-普通化學(一) 課號-B3B01L6L 開課班級-A</t>
  </si>
  <si>
    <t xml:space="preserve"> 查詢條件：學年度-1061 課名-普通化學(一) 課號-B8101L6L 開課班級-A</t>
  </si>
  <si>
    <t>10/5</t>
    <phoneticPr fontId="1" type="noConversion"/>
  </si>
  <si>
    <t>總計</t>
    <phoneticPr fontId="1" type="noConversion"/>
  </si>
  <si>
    <t>9/25</t>
    <phoneticPr fontId="1" type="noConversion"/>
  </si>
  <si>
    <t>9/26</t>
    <phoneticPr fontId="1" type="noConversion"/>
  </si>
  <si>
    <t>9/27</t>
    <phoneticPr fontId="1" type="noConversion"/>
  </si>
  <si>
    <t>9/28</t>
    <phoneticPr fontId="1" type="noConversion"/>
  </si>
  <si>
    <t>10/2</t>
    <phoneticPr fontId="1" type="noConversion"/>
  </si>
  <si>
    <t>10/3</t>
    <phoneticPr fontId="1" type="noConversion"/>
  </si>
  <si>
    <t>10/11</t>
    <phoneticPr fontId="1" type="noConversion"/>
  </si>
  <si>
    <t>10/12</t>
    <phoneticPr fontId="1" type="noConversion"/>
  </si>
  <si>
    <t>10/16</t>
    <phoneticPr fontId="1" type="noConversion"/>
  </si>
  <si>
    <t>10/17</t>
    <phoneticPr fontId="1" type="noConversion"/>
  </si>
  <si>
    <t>10/18</t>
    <phoneticPr fontId="1" type="noConversion"/>
  </si>
  <si>
    <t>10/19</t>
    <phoneticPr fontId="1" type="noConversion"/>
  </si>
  <si>
    <t>10/23</t>
    <phoneticPr fontId="1" type="noConversion"/>
  </si>
  <si>
    <t>P</t>
  </si>
  <si>
    <t>P</t>
    <phoneticPr fontId="1" type="noConversion"/>
  </si>
  <si>
    <t>P</t>
    <phoneticPr fontId="1" type="noConversion"/>
  </si>
  <si>
    <t>食科</t>
    <phoneticPr fontId="1" type="noConversion"/>
  </si>
  <si>
    <t>黃玲玲</t>
    <phoneticPr fontId="1" type="noConversion"/>
  </si>
  <si>
    <t>秦梓盛</t>
    <phoneticPr fontId="1" type="noConversion"/>
  </si>
  <si>
    <t>何欣蓉</t>
    <phoneticPr fontId="1" type="noConversion"/>
  </si>
  <si>
    <t>陳香蓉</t>
    <phoneticPr fontId="1" type="noConversion"/>
  </si>
  <si>
    <t>魏珍言</t>
    <phoneticPr fontId="1" type="noConversion"/>
  </si>
  <si>
    <t>黃伊翎</t>
    <phoneticPr fontId="1" type="noConversion"/>
  </si>
  <si>
    <t>邱奕舜</t>
    <phoneticPr fontId="1" type="noConversion"/>
  </si>
  <si>
    <t>張宇恩</t>
    <phoneticPr fontId="1" type="noConversion"/>
  </si>
  <si>
    <t>&lt;A&gt;</t>
    <phoneticPr fontId="1" type="noConversion"/>
  </si>
  <si>
    <t>食科</t>
    <phoneticPr fontId="1" type="noConversion"/>
  </si>
  <si>
    <t>黃玲玲</t>
    <phoneticPr fontId="1" type="noConversion"/>
  </si>
  <si>
    <t>秦梓盛</t>
    <phoneticPr fontId="1" type="noConversion"/>
  </si>
  <si>
    <t>何欣蓉</t>
    <phoneticPr fontId="1" type="noConversion"/>
  </si>
  <si>
    <t>陳香蓉</t>
    <phoneticPr fontId="1" type="noConversion"/>
  </si>
  <si>
    <t>魏珍言</t>
    <phoneticPr fontId="1" type="noConversion"/>
  </si>
  <si>
    <t>黃伊翎</t>
    <phoneticPr fontId="1" type="noConversion"/>
  </si>
  <si>
    <t>張宇恩</t>
    <phoneticPr fontId="1" type="noConversion"/>
  </si>
  <si>
    <t>出席總人數</t>
    <phoneticPr fontId="1" type="noConversion"/>
  </si>
  <si>
    <t>總計</t>
    <phoneticPr fontId="1" type="noConversion"/>
  </si>
  <si>
    <t>9/25(一)</t>
    <phoneticPr fontId="1" type="noConversion"/>
  </si>
  <si>
    <t>9/26(二)</t>
    <phoneticPr fontId="1" type="noConversion"/>
  </si>
  <si>
    <t>9/27(三)</t>
    <phoneticPr fontId="1" type="noConversion"/>
  </si>
  <si>
    <t>9/28(四)</t>
    <phoneticPr fontId="1" type="noConversion"/>
  </si>
  <si>
    <t>10/2(一)</t>
    <phoneticPr fontId="1" type="noConversion"/>
  </si>
  <si>
    <t>10/3(二)</t>
    <phoneticPr fontId="1" type="noConversion"/>
  </si>
  <si>
    <t>10/5(四)</t>
    <phoneticPr fontId="1" type="noConversion"/>
  </si>
  <si>
    <t>10/11(三)</t>
    <phoneticPr fontId="1" type="noConversion"/>
  </si>
  <si>
    <t>10/12(四)</t>
    <phoneticPr fontId="1" type="noConversion"/>
  </si>
  <si>
    <t>10/16(一)</t>
    <phoneticPr fontId="1" type="noConversion"/>
  </si>
  <si>
    <t>10/17(二)</t>
    <phoneticPr fontId="1" type="noConversion"/>
  </si>
  <si>
    <t>10/18(三)</t>
    <phoneticPr fontId="1" type="noConversion"/>
  </si>
  <si>
    <t>10/19(四)</t>
    <phoneticPr fontId="1" type="noConversion"/>
  </si>
  <si>
    <t>10/23(一)</t>
    <phoneticPr fontId="1" type="noConversion"/>
  </si>
  <si>
    <t>&lt; B &gt;</t>
    <phoneticPr fontId="1" type="noConversion"/>
  </si>
  <si>
    <t>系別</t>
    <phoneticPr fontId="1" type="noConversion"/>
  </si>
  <si>
    <t>出席總人數(人)</t>
    <phoneticPr fontId="1" type="noConversion"/>
  </si>
  <si>
    <t>出席總次數(次)</t>
    <phoneticPr fontId="1" type="noConversion"/>
  </si>
  <si>
    <t>海洋環境資訊系</t>
  </si>
  <si>
    <t>水產養殖學系</t>
  </si>
  <si>
    <t>環境生物與漁業科學學系</t>
  </si>
  <si>
    <t>輪機工程學系動力工程組</t>
  </si>
  <si>
    <t>總和</t>
    <phoneticPr fontId="1" type="noConversion"/>
  </si>
  <si>
    <t>食品科學系食品科學組</t>
  </si>
  <si>
    <t>機械與機電工程學系</t>
  </si>
  <si>
    <t>海洋生物科技學士學位學程</t>
  </si>
  <si>
    <t>&lt; C &gt;</t>
    <phoneticPr fontId="1" type="noConversion"/>
  </si>
  <si>
    <t>班級名稱</t>
    <phoneticPr fontId="1" type="noConversion"/>
  </si>
  <si>
    <t>各班修課總人數(人)</t>
    <phoneticPr fontId="1" type="noConversion"/>
  </si>
  <si>
    <t>總和</t>
    <phoneticPr fontId="1" type="noConversion"/>
  </si>
  <si>
    <t>食科</t>
  </si>
  <si>
    <t>海洋環魚</t>
    <phoneticPr fontId="1" type="noConversion"/>
  </si>
  <si>
    <t>輪機</t>
  </si>
  <si>
    <t>養殖</t>
  </si>
  <si>
    <t>全校</t>
  </si>
  <si>
    <t>平均分數</t>
  </si>
  <si>
    <t>補強次數</t>
    <phoneticPr fontId="1" type="noConversion"/>
  </si>
  <si>
    <t>1061-1化學會考各系平均統計</t>
    <phoneticPr fontId="1" type="noConversion"/>
  </si>
  <si>
    <t>01_1061生科系_馬祖生科</t>
    <phoneticPr fontId="1" type="noConversion"/>
  </si>
  <si>
    <t>02_1061食科系</t>
    <phoneticPr fontId="1" type="noConversion"/>
  </si>
  <si>
    <t>03_1061海洋環漁系</t>
    <phoneticPr fontId="1" type="noConversion"/>
  </si>
  <si>
    <t>04_1061輪機系</t>
    <phoneticPr fontId="1" type="noConversion"/>
  </si>
  <si>
    <t>05_1061養殖系</t>
    <phoneticPr fontId="1" type="noConversion"/>
  </si>
  <si>
    <t>06_1061機械系</t>
    <phoneticPr fontId="1" type="noConversion"/>
  </si>
  <si>
    <t>07_1061光電馬祖海工</t>
    <phoneticPr fontId="1" type="noConversion"/>
  </si>
  <si>
    <t>生科/馬祖生科</t>
    <phoneticPr fontId="1" type="noConversion"/>
  </si>
  <si>
    <t>機械</t>
    <phoneticPr fontId="1" type="noConversion"/>
  </si>
  <si>
    <t>光電馬祖海工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</si>
</sst>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2"/>
      <color rgb="FFFF0000"/>
      <name val="Wingdings 2"/>
      <family val="1"/>
      <charset val="2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7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4"/>
      <name val="新細明體"/>
      <family val="1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5"/>
      <name val="新細明體"/>
      <family val="1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2" tint="-0.499984740745262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theme="4" tint="-0.249977111117893"/>
      <name val="新細明體"/>
      <family val="1"/>
      <charset val="136"/>
      <scheme val="minor"/>
    </font>
    <font>
      <sz val="8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49" fontId="2" fillId="0" borderId="1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0" fillId="0" borderId="0" xfId="0" applyNumberFormat="1">
      <alignment vertical="center"/>
    </xf>
    <xf numFmtId="0" fontId="9" fillId="0" borderId="0" xfId="0" applyFont="1">
      <alignment vertical="center"/>
    </xf>
    <xf numFmtId="49" fontId="9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Layout" topLeftCell="A133" zoomScale="90" zoomScaleNormal="64" zoomScalePageLayoutView="90" workbookViewId="0">
      <selection activeCell="B47" sqref="B47"/>
    </sheetView>
  </sheetViews>
  <sheetFormatPr defaultColWidth="8.7265625" defaultRowHeight="17" x14ac:dyDescent="0.4"/>
  <cols>
    <col min="1" max="1" width="6.08984375" style="5" customWidth="1"/>
    <col min="2" max="2" width="8.7265625" style="5"/>
    <col min="3" max="3" width="8" style="5" customWidth="1"/>
    <col min="4" max="18" width="4.6328125" style="5" customWidth="1"/>
    <col min="19" max="16384" width="8.7265625" style="5"/>
  </cols>
  <sheetData>
    <row r="1" spans="1:18" x14ac:dyDescent="0.4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1" t="s">
        <v>11</v>
      </c>
    </row>
    <row r="3" spans="1:18" x14ac:dyDescent="0.4">
      <c r="A3" s="4" t="str">
        <f>"水產養殖學系"</f>
        <v>水產養殖學系</v>
      </c>
      <c r="B3" s="4" t="str">
        <f>"00333044"</f>
        <v>00333044</v>
      </c>
      <c r="C3" s="4" t="str">
        <f>"薛勻凱"</f>
        <v>薛勻凱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18" x14ac:dyDescent="0.4">
      <c r="A4" s="4" t="str">
        <f>"水產養殖學系"</f>
        <v>水產養殖學系</v>
      </c>
      <c r="B4" s="4" t="str">
        <f>"00333150"</f>
        <v>00333150</v>
      </c>
      <c r="C4" s="4" t="str">
        <f>"杜智顥"</f>
        <v>杜智顥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1:18" x14ac:dyDescent="0.4">
      <c r="A5" s="4" t="str">
        <f>"食品科學系食品科學組"</f>
        <v>食品科學系食品科學組</v>
      </c>
      <c r="B5" s="4" t="str">
        <f>"00339039"</f>
        <v>00339039</v>
      </c>
      <c r="C5" s="4" t="str">
        <f>"林芷柔"</f>
        <v>林芷柔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8" x14ac:dyDescent="0.4">
      <c r="A6" s="4" t="str">
        <f>"環境生物與漁業科學學系"</f>
        <v>環境生物與漁業科學學系</v>
      </c>
      <c r="B6" s="4" t="str">
        <f>"00431005"</f>
        <v>00431005</v>
      </c>
      <c r="C6" s="4" t="str">
        <f>"劉旆辰"</f>
        <v>劉旆辰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8" x14ac:dyDescent="0.4">
      <c r="A7" s="4" t="str">
        <f t="shared" ref="A7:A71" si="0">"水產養殖學系"</f>
        <v>水產養殖學系</v>
      </c>
      <c r="B7" s="4" t="str">
        <f>"00533101"</f>
        <v>00533101</v>
      </c>
      <c r="C7" s="4" t="str">
        <f>"王建程"</f>
        <v>王建程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1:18" x14ac:dyDescent="0.4">
      <c r="A8" s="4" t="str">
        <f t="shared" si="0"/>
        <v>水產養殖學系</v>
      </c>
      <c r="B8" s="4" t="str">
        <f>"00533102"</f>
        <v>00533102</v>
      </c>
      <c r="C8" s="4" t="str">
        <f>"詹佾廣"</f>
        <v>詹佾廣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spans="1:18" x14ac:dyDescent="0.4">
      <c r="A9" s="4" t="str">
        <f t="shared" si="0"/>
        <v>水產養殖學系</v>
      </c>
      <c r="B9" s="4" t="str">
        <f>"00533105"</f>
        <v>00533105</v>
      </c>
      <c r="C9" s="4" t="str">
        <f>"徐啟端"</f>
        <v>徐啟端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x14ac:dyDescent="0.4">
      <c r="A10" s="4" t="str">
        <f t="shared" si="0"/>
        <v>水產養殖學系</v>
      </c>
      <c r="B10" s="4" t="str">
        <f>"00533107"</f>
        <v>00533107</v>
      </c>
      <c r="C10" s="4" t="str">
        <f>"陳瑋涵"</f>
        <v>陳瑋涵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18" x14ac:dyDescent="0.4">
      <c r="A11" s="4" t="str">
        <f t="shared" si="0"/>
        <v>水產養殖學系</v>
      </c>
      <c r="B11" s="4" t="str">
        <f>"00633001"</f>
        <v>00633001</v>
      </c>
      <c r="C11" s="4" t="str">
        <f>"吳弘楷"</f>
        <v>吳弘楷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18" x14ac:dyDescent="0.4">
      <c r="A12" s="4" t="str">
        <f t="shared" si="0"/>
        <v>水產養殖學系</v>
      </c>
      <c r="B12" s="4" t="str">
        <f>"00633002"</f>
        <v>00633002</v>
      </c>
      <c r="C12" s="4" t="str">
        <f>"李翔宇"</f>
        <v>李翔宇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</row>
    <row r="13" spans="1:18" x14ac:dyDescent="0.4">
      <c r="A13" s="4" t="str">
        <f t="shared" si="0"/>
        <v>水產養殖學系</v>
      </c>
      <c r="B13" s="4" t="str">
        <f>"00633003"</f>
        <v>00633003</v>
      </c>
      <c r="C13" s="4" t="str">
        <f>"章育銓"</f>
        <v>章育銓</v>
      </c>
      <c r="D13" s="6"/>
      <c r="E13" s="6"/>
      <c r="F13" s="6"/>
      <c r="G13" s="6"/>
      <c r="H13" s="6"/>
      <c r="I13" s="6"/>
      <c r="J13" s="6"/>
      <c r="K13" s="6"/>
      <c r="L13" s="6" t="s">
        <v>27</v>
      </c>
      <c r="M13" s="6"/>
      <c r="N13" s="6"/>
      <c r="O13" s="6"/>
      <c r="P13" s="6" t="s">
        <v>27</v>
      </c>
      <c r="Q13" s="6"/>
      <c r="R13" s="7">
        <v>2</v>
      </c>
    </row>
    <row r="14" spans="1:18" x14ac:dyDescent="0.4">
      <c r="A14" s="4" t="str">
        <f t="shared" si="0"/>
        <v>水產養殖學系</v>
      </c>
      <c r="B14" s="4" t="str">
        <f>"00633004"</f>
        <v>00633004</v>
      </c>
      <c r="C14" s="4" t="str">
        <f>"王麒昇"</f>
        <v>王麒昇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</row>
    <row r="15" spans="1:18" x14ac:dyDescent="0.4">
      <c r="A15" s="4" t="str">
        <f t="shared" si="0"/>
        <v>水產養殖學系</v>
      </c>
      <c r="B15" s="4" t="str">
        <f>"00633005"</f>
        <v>00633005</v>
      </c>
      <c r="C15" s="4" t="str">
        <f>"曹雲"</f>
        <v>曹雲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</row>
    <row r="16" spans="1:18" x14ac:dyDescent="0.4">
      <c r="A16" s="4" t="str">
        <f t="shared" si="0"/>
        <v>水產養殖學系</v>
      </c>
      <c r="B16" s="4" t="str">
        <f>"00633006"</f>
        <v>00633006</v>
      </c>
      <c r="C16" s="4" t="str">
        <f>"古苗成"</f>
        <v>古苗成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</row>
    <row r="17" spans="1:18" x14ac:dyDescent="0.4">
      <c r="A17" s="4" t="str">
        <f t="shared" si="0"/>
        <v>水產養殖學系</v>
      </c>
      <c r="B17" s="4" t="str">
        <f>"00633007"</f>
        <v>00633007</v>
      </c>
      <c r="C17" s="4" t="str">
        <f>"袁士峰"</f>
        <v>袁士峰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</row>
    <row r="18" spans="1:18" x14ac:dyDescent="0.4">
      <c r="A18" s="4" t="str">
        <f t="shared" si="0"/>
        <v>水產養殖學系</v>
      </c>
      <c r="B18" s="4" t="str">
        <f>"00633008"</f>
        <v>00633008</v>
      </c>
      <c r="C18" s="4" t="str">
        <f>"陳柏向"</f>
        <v>陳柏向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</row>
    <row r="19" spans="1:18" x14ac:dyDescent="0.4">
      <c r="A19" s="4" t="str">
        <f t="shared" si="0"/>
        <v>水產養殖學系</v>
      </c>
      <c r="B19" s="4" t="str">
        <f>"00633009"</f>
        <v>00633009</v>
      </c>
      <c r="C19" s="4" t="str">
        <f>"陳冠勳"</f>
        <v>陳冠勳</v>
      </c>
      <c r="D19" s="6"/>
      <c r="E19" s="6"/>
      <c r="F19" s="6"/>
      <c r="G19" s="6"/>
      <c r="H19" s="6"/>
      <c r="I19" s="6"/>
      <c r="J19" s="6"/>
      <c r="K19" s="6"/>
      <c r="L19" s="6" t="s">
        <v>26</v>
      </c>
      <c r="M19" s="6" t="s">
        <v>25</v>
      </c>
      <c r="N19" s="6"/>
      <c r="O19" s="6"/>
      <c r="P19" s="6"/>
      <c r="Q19" s="6"/>
      <c r="R19" s="7">
        <v>2</v>
      </c>
    </row>
    <row r="20" spans="1:18" x14ac:dyDescent="0.4">
      <c r="A20" s="4" t="str">
        <f t="shared" si="0"/>
        <v>水產養殖學系</v>
      </c>
      <c r="B20" s="4" t="str">
        <f>"00633010"</f>
        <v>00633010</v>
      </c>
      <c r="C20" s="4" t="str">
        <f>"張文慶"</f>
        <v>張文慶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</row>
    <row r="21" spans="1:18" x14ac:dyDescent="0.4">
      <c r="A21" s="4" t="str">
        <f t="shared" si="0"/>
        <v>水產養殖學系</v>
      </c>
      <c r="B21" s="4" t="str">
        <f>"00633011"</f>
        <v>00633011</v>
      </c>
      <c r="C21" s="4" t="str">
        <f>"李貫禎"</f>
        <v>李貫禎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</row>
    <row r="22" spans="1:18" x14ac:dyDescent="0.4">
      <c r="A22" s="4" t="str">
        <f t="shared" si="0"/>
        <v>水產養殖學系</v>
      </c>
      <c r="B22" s="4" t="str">
        <f>"00633012"</f>
        <v>00633012</v>
      </c>
      <c r="C22" s="4" t="str">
        <f>"盧信榮"</f>
        <v>盧信榮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spans="1:18" x14ac:dyDescent="0.4">
      <c r="A23" s="4" t="str">
        <f t="shared" si="0"/>
        <v>水產養殖學系</v>
      </c>
      <c r="B23" s="4" t="str">
        <f>"00633013"</f>
        <v>00633013</v>
      </c>
      <c r="C23" s="4" t="str">
        <f>"吳宥叡"</f>
        <v>吳宥叡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/>
    </row>
    <row r="24" spans="1:18" x14ac:dyDescent="0.4">
      <c r="A24" s="4" t="str">
        <f t="shared" si="0"/>
        <v>水產養殖學系</v>
      </c>
      <c r="B24" s="4" t="str">
        <f>"00633014"</f>
        <v>00633014</v>
      </c>
      <c r="C24" s="4" t="str">
        <f>"陳斯瀚"</f>
        <v>陳斯瀚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</row>
    <row r="25" spans="1:18" x14ac:dyDescent="0.4">
      <c r="A25" s="4" t="str">
        <f t="shared" si="0"/>
        <v>水產養殖學系</v>
      </c>
      <c r="B25" s="4" t="str">
        <f>"00633015"</f>
        <v>00633015</v>
      </c>
      <c r="C25" s="4" t="str">
        <f>"黃鼎鈞"</f>
        <v>黃鼎鈞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7"/>
    </row>
    <row r="26" spans="1:18" x14ac:dyDescent="0.4">
      <c r="A26" s="4" t="str">
        <f t="shared" si="0"/>
        <v>水產養殖學系</v>
      </c>
      <c r="B26" s="4" t="str">
        <f>"00633016"</f>
        <v>00633016</v>
      </c>
      <c r="C26" s="4" t="str">
        <f>"李浚維"</f>
        <v>李浚維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</row>
    <row r="27" spans="1:18" x14ac:dyDescent="0.4">
      <c r="A27" s="4" t="str">
        <f t="shared" si="0"/>
        <v>水產養殖學系</v>
      </c>
      <c r="B27" s="4" t="str">
        <f>"00633017"</f>
        <v>00633017</v>
      </c>
      <c r="C27" s="4" t="str">
        <f>"周以德"</f>
        <v>周以德</v>
      </c>
      <c r="D27" s="6"/>
      <c r="E27" s="6"/>
      <c r="F27" s="6"/>
      <c r="G27" s="6"/>
      <c r="H27" s="6"/>
      <c r="I27" s="6"/>
      <c r="J27" s="6"/>
      <c r="K27" s="6"/>
      <c r="L27" s="6" t="s">
        <v>25</v>
      </c>
      <c r="M27" s="6"/>
      <c r="N27" s="6" t="s">
        <v>25</v>
      </c>
      <c r="O27" s="6" t="s">
        <v>25</v>
      </c>
      <c r="P27" s="6" t="s">
        <v>25</v>
      </c>
      <c r="Q27" s="6"/>
      <c r="R27" s="7">
        <v>4</v>
      </c>
    </row>
    <row r="28" spans="1:18" x14ac:dyDescent="0.4">
      <c r="A28" s="4" t="str">
        <f t="shared" si="0"/>
        <v>水產養殖學系</v>
      </c>
      <c r="B28" s="4" t="str">
        <f>"00633018"</f>
        <v>00633018</v>
      </c>
      <c r="C28" s="4" t="str">
        <f>"傅威鈞"</f>
        <v>傅威鈞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 t="s">
        <v>25</v>
      </c>
      <c r="O28" s="6"/>
      <c r="P28" s="6"/>
      <c r="Q28" s="6"/>
      <c r="R28" s="7">
        <v>1</v>
      </c>
    </row>
    <row r="29" spans="1:18" x14ac:dyDescent="0.4">
      <c r="A29" s="4" t="str">
        <f t="shared" si="0"/>
        <v>水產養殖學系</v>
      </c>
      <c r="B29" s="4" t="str">
        <f>"00633019"</f>
        <v>00633019</v>
      </c>
      <c r="C29" s="4" t="str">
        <f>"吳秉威"</f>
        <v>吳秉威</v>
      </c>
      <c r="D29" s="6"/>
      <c r="E29" s="6"/>
      <c r="F29" s="6"/>
      <c r="G29" s="6"/>
      <c r="H29" s="6"/>
      <c r="I29" s="6"/>
      <c r="J29" s="6"/>
      <c r="K29" s="6"/>
      <c r="L29" s="6" t="s">
        <v>25</v>
      </c>
      <c r="M29" s="6"/>
      <c r="N29" s="6"/>
      <c r="O29" s="6"/>
      <c r="P29" s="6"/>
      <c r="Q29" s="6"/>
      <c r="R29" s="7">
        <v>1</v>
      </c>
    </row>
    <row r="30" spans="1:18" x14ac:dyDescent="0.4">
      <c r="A30" s="4" t="str">
        <f t="shared" si="0"/>
        <v>水產養殖學系</v>
      </c>
      <c r="B30" s="4" t="str">
        <f>"00633020"</f>
        <v>00633020</v>
      </c>
      <c r="C30" s="4" t="str">
        <f>"張育誠"</f>
        <v>張育誠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</row>
    <row r="31" spans="1:18" x14ac:dyDescent="0.4">
      <c r="A31" s="4" t="str">
        <f t="shared" si="0"/>
        <v>水產養殖學系</v>
      </c>
      <c r="B31" s="4" t="str">
        <f>"00633021"</f>
        <v>00633021</v>
      </c>
      <c r="C31" s="4" t="str">
        <f>"林銘昱"</f>
        <v>林銘昱</v>
      </c>
      <c r="D31" s="6"/>
      <c r="E31" s="6"/>
      <c r="F31" s="6"/>
      <c r="G31" s="6"/>
      <c r="H31" s="6"/>
      <c r="I31" s="6"/>
      <c r="J31" s="6" t="s">
        <v>25</v>
      </c>
      <c r="K31" s="6"/>
      <c r="L31" s="6" t="s">
        <v>25</v>
      </c>
      <c r="M31" s="6" t="s">
        <v>25</v>
      </c>
      <c r="N31" s="6"/>
      <c r="O31" s="6"/>
      <c r="P31" s="6"/>
      <c r="Q31" s="6" t="s">
        <v>25</v>
      </c>
      <c r="R31" s="7">
        <v>4</v>
      </c>
    </row>
    <row r="32" spans="1:18" x14ac:dyDescent="0.4">
      <c r="A32" s="4" t="str">
        <f t="shared" si="0"/>
        <v>水產養殖學系</v>
      </c>
      <c r="B32" s="4" t="str">
        <f>"00633022"</f>
        <v>00633022</v>
      </c>
      <c r="C32" s="4" t="str">
        <f>"楊雅淇"</f>
        <v>楊雅淇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</row>
    <row r="33" spans="1:18" x14ac:dyDescent="0.4">
      <c r="A33" s="4" t="str">
        <f t="shared" si="0"/>
        <v>水產養殖學系</v>
      </c>
      <c r="B33" s="4" t="str">
        <f>"00633023"</f>
        <v>00633023</v>
      </c>
      <c r="C33" s="4" t="str">
        <f>"蕭鈺錞"</f>
        <v>蕭鈺錞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</row>
    <row r="34" spans="1:18" x14ac:dyDescent="0.4">
      <c r="A34" s="4" t="str">
        <f t="shared" si="0"/>
        <v>水產養殖學系</v>
      </c>
      <c r="B34" s="4" t="str">
        <f>"00633024"</f>
        <v>00633024</v>
      </c>
      <c r="C34" s="4" t="str">
        <f>"林以真"</f>
        <v>林以真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7"/>
    </row>
    <row r="35" spans="1:18" x14ac:dyDescent="0.4">
      <c r="A35" s="4" t="str">
        <f t="shared" si="0"/>
        <v>水產養殖學系</v>
      </c>
      <c r="B35" s="4" t="str">
        <f>"00633025"</f>
        <v>00633025</v>
      </c>
      <c r="C35" s="4" t="str">
        <f>"宋軒芃"</f>
        <v>宋軒芃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</row>
    <row r="36" spans="1:18" x14ac:dyDescent="0.4">
      <c r="A36" s="4" t="str">
        <f t="shared" si="0"/>
        <v>水產養殖學系</v>
      </c>
      <c r="B36" s="4" t="str">
        <f>"00633026"</f>
        <v>00633026</v>
      </c>
      <c r="C36" s="4" t="str">
        <f>"游雅安"</f>
        <v>游雅安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7"/>
    </row>
    <row r="37" spans="1:18" x14ac:dyDescent="0.4">
      <c r="A37" s="4" t="str">
        <f t="shared" si="0"/>
        <v>水產養殖學系</v>
      </c>
      <c r="B37" s="4" t="str">
        <f>"00633027"</f>
        <v>00633027</v>
      </c>
      <c r="C37" s="4" t="str">
        <f>"郭晏如"</f>
        <v>郭晏如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</row>
    <row r="38" spans="1:18" x14ac:dyDescent="0.4">
      <c r="A38" s="4" t="str">
        <f t="shared" si="0"/>
        <v>水產養殖學系</v>
      </c>
      <c r="B38" s="4" t="str">
        <f>"00633028"</f>
        <v>00633028</v>
      </c>
      <c r="C38" s="4" t="str">
        <f>"廖紫妍"</f>
        <v>廖紫妍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</row>
    <row r="39" spans="1:18" x14ac:dyDescent="0.4">
      <c r="A39" s="4" t="str">
        <f t="shared" si="0"/>
        <v>水產養殖學系</v>
      </c>
      <c r="B39" s="4" t="str">
        <f>"00633029"</f>
        <v>00633029</v>
      </c>
      <c r="C39" s="4" t="str">
        <f>"徐鈺婷"</f>
        <v>徐鈺婷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7"/>
    </row>
    <row r="40" spans="1:18" x14ac:dyDescent="0.4">
      <c r="A40" s="4" t="str">
        <f t="shared" si="0"/>
        <v>水產養殖學系</v>
      </c>
      <c r="B40" s="4" t="str">
        <f>"00633030"</f>
        <v>00633030</v>
      </c>
      <c r="C40" s="4" t="str">
        <f>"李玟欣"</f>
        <v>李玟欣</v>
      </c>
      <c r="D40" s="6"/>
      <c r="E40" s="6"/>
      <c r="F40" s="6"/>
      <c r="G40" s="6"/>
      <c r="H40" s="6"/>
      <c r="I40" s="6"/>
      <c r="J40" s="6"/>
      <c r="K40" s="6"/>
      <c r="L40" s="6"/>
      <c r="M40" s="6" t="s">
        <v>25</v>
      </c>
      <c r="N40" s="6"/>
      <c r="O40" s="6"/>
      <c r="P40" s="6"/>
      <c r="Q40" s="6" t="s">
        <v>25</v>
      </c>
      <c r="R40" s="7">
        <v>2</v>
      </c>
    </row>
    <row r="41" spans="1:18" x14ac:dyDescent="0.4">
      <c r="A41" s="4" t="str">
        <f t="shared" si="0"/>
        <v>水產養殖學系</v>
      </c>
      <c r="B41" s="4" t="str">
        <f>"00633031"</f>
        <v>00633031</v>
      </c>
      <c r="C41" s="4" t="str">
        <f>"管郁榛"</f>
        <v>管郁榛</v>
      </c>
      <c r="D41" s="6"/>
      <c r="E41" s="6"/>
      <c r="F41" s="6"/>
      <c r="G41" s="6"/>
      <c r="H41" s="6"/>
      <c r="I41" s="6"/>
      <c r="J41" s="6"/>
      <c r="K41" s="6"/>
      <c r="L41" s="6"/>
      <c r="M41" s="6" t="s">
        <v>25</v>
      </c>
      <c r="N41" s="6"/>
      <c r="O41" s="6"/>
      <c r="P41" s="6"/>
      <c r="Q41" s="6" t="s">
        <v>25</v>
      </c>
      <c r="R41" s="7">
        <v>2</v>
      </c>
    </row>
    <row r="42" spans="1:18" x14ac:dyDescent="0.4">
      <c r="A42" s="4" t="str">
        <f t="shared" si="0"/>
        <v>水產養殖學系</v>
      </c>
      <c r="B42" s="4" t="str">
        <f>"00633032"</f>
        <v>00633032</v>
      </c>
      <c r="C42" s="4" t="str">
        <f>"侯瑋瑋"</f>
        <v>侯瑋瑋</v>
      </c>
      <c r="D42" s="6"/>
      <c r="E42" s="6"/>
      <c r="F42" s="6"/>
      <c r="G42" s="6"/>
      <c r="H42" s="6" t="s">
        <v>25</v>
      </c>
      <c r="I42" s="6"/>
      <c r="J42" s="6"/>
      <c r="K42" s="6"/>
      <c r="L42" s="6"/>
      <c r="M42" s="6" t="s">
        <v>25</v>
      </c>
      <c r="N42" s="6"/>
      <c r="O42" s="6"/>
      <c r="P42" s="6"/>
      <c r="Q42" s="6" t="s">
        <v>25</v>
      </c>
      <c r="R42" s="7">
        <v>3</v>
      </c>
    </row>
    <row r="43" spans="1:18" x14ac:dyDescent="0.4">
      <c r="A43" s="4" t="str">
        <f t="shared" si="0"/>
        <v>水產養殖學系</v>
      </c>
      <c r="B43" s="4" t="str">
        <f>"00633033"</f>
        <v>00633033</v>
      </c>
      <c r="C43" s="4" t="str">
        <f>"張景涵"</f>
        <v>張景涵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 t="s">
        <v>25</v>
      </c>
      <c r="O43" s="6"/>
      <c r="P43" s="6"/>
      <c r="Q43" s="6"/>
      <c r="R43" s="7">
        <v>1</v>
      </c>
    </row>
    <row r="44" spans="1:18" x14ac:dyDescent="0.4">
      <c r="A44" s="4" t="str">
        <f t="shared" si="0"/>
        <v>水產養殖學系</v>
      </c>
      <c r="B44" s="4" t="str">
        <f>"00633034"</f>
        <v>00633034</v>
      </c>
      <c r="C44" s="4" t="str">
        <f>"莊志清"</f>
        <v>莊志清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7"/>
    </row>
    <row r="45" spans="1:18" x14ac:dyDescent="0.4">
      <c r="A45" s="4" t="str">
        <f t="shared" si="0"/>
        <v>水產養殖學系</v>
      </c>
      <c r="B45" s="4" t="str">
        <f>"00633035"</f>
        <v>00633035</v>
      </c>
      <c r="C45" s="4" t="str">
        <f>"王鐽錕"</f>
        <v>王鐽錕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7"/>
    </row>
    <row r="46" spans="1:18" x14ac:dyDescent="0.4">
      <c r="A46" s="4" t="str">
        <f t="shared" si="0"/>
        <v>水產養殖學系</v>
      </c>
      <c r="B46" s="4" t="str">
        <f>"00633036"</f>
        <v>00633036</v>
      </c>
      <c r="C46" s="4" t="str">
        <f>"劉育辰"</f>
        <v>劉育辰</v>
      </c>
      <c r="D46" s="6"/>
      <c r="E46" s="6"/>
      <c r="F46" s="6"/>
      <c r="G46" s="6"/>
      <c r="H46" s="6"/>
      <c r="I46" s="6"/>
      <c r="J46" s="6"/>
      <c r="K46" s="6"/>
      <c r="L46" s="6" t="s">
        <v>25</v>
      </c>
      <c r="M46" s="6"/>
      <c r="N46" s="6"/>
      <c r="O46" s="6"/>
      <c r="P46" s="6"/>
      <c r="Q46" s="6"/>
      <c r="R46" s="7">
        <v>1</v>
      </c>
    </row>
    <row r="47" spans="1:18" x14ac:dyDescent="0.4">
      <c r="A47" s="4" t="str">
        <f t="shared" si="0"/>
        <v>水產養殖學系</v>
      </c>
      <c r="B47" s="4" t="str">
        <f>"00633037"</f>
        <v>00633037</v>
      </c>
      <c r="C47" s="4" t="str">
        <f>"黃祥庭"</f>
        <v>黃祥庭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 t="s">
        <v>25</v>
      </c>
      <c r="P47" s="6"/>
      <c r="Q47" s="6"/>
      <c r="R47" s="7">
        <v>1</v>
      </c>
    </row>
    <row r="48" spans="1:18" x14ac:dyDescent="0.4">
      <c r="A48" s="4" t="s">
        <v>0</v>
      </c>
      <c r="B48" s="4" t="s">
        <v>1</v>
      </c>
      <c r="C48" s="4" t="s">
        <v>3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10</v>
      </c>
      <c r="K48" s="1" t="s">
        <v>18</v>
      </c>
      <c r="L48" s="2" t="s">
        <v>19</v>
      </c>
      <c r="M48" s="3" t="s">
        <v>20</v>
      </c>
      <c r="N48" s="3" t="s">
        <v>21</v>
      </c>
      <c r="O48" s="3" t="s">
        <v>22</v>
      </c>
      <c r="P48" s="3" t="s">
        <v>23</v>
      </c>
      <c r="Q48" s="3" t="s">
        <v>24</v>
      </c>
      <c r="R48" s="1" t="s">
        <v>11</v>
      </c>
    </row>
    <row r="49" spans="1:18" x14ac:dyDescent="0.4">
      <c r="A49" s="4" t="str">
        <f t="shared" si="0"/>
        <v>水產養殖學系</v>
      </c>
      <c r="B49" s="4" t="str">
        <f>"00633038"</f>
        <v>00633038</v>
      </c>
      <c r="C49" s="4" t="str">
        <f>"韓一慶"</f>
        <v>韓一慶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4"/>
    </row>
    <row r="50" spans="1:18" x14ac:dyDescent="0.4">
      <c r="A50" s="4" t="str">
        <f t="shared" si="0"/>
        <v>水產養殖學系</v>
      </c>
      <c r="B50" s="4" t="str">
        <f>"00633039"</f>
        <v>00633039</v>
      </c>
      <c r="C50" s="4" t="str">
        <f>"許智豪"</f>
        <v>許智豪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4"/>
    </row>
    <row r="51" spans="1:18" x14ac:dyDescent="0.4">
      <c r="A51" s="4" t="str">
        <f t="shared" si="0"/>
        <v>水產養殖學系</v>
      </c>
      <c r="B51" s="4" t="str">
        <f>"00633040"</f>
        <v>00633040</v>
      </c>
      <c r="C51" s="4" t="str">
        <f>"蕭易宏"</f>
        <v>蕭易宏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4"/>
    </row>
    <row r="52" spans="1:18" x14ac:dyDescent="0.4">
      <c r="A52" s="4" t="str">
        <f t="shared" si="0"/>
        <v>水產養殖學系</v>
      </c>
      <c r="B52" s="4" t="str">
        <f>"00633041"</f>
        <v>00633041</v>
      </c>
      <c r="C52" s="4" t="str">
        <f>"劉易豪"</f>
        <v>劉易豪</v>
      </c>
      <c r="D52" s="6"/>
      <c r="E52" s="6"/>
      <c r="F52" s="6"/>
      <c r="G52" s="6"/>
      <c r="H52" s="6"/>
      <c r="I52" s="6"/>
      <c r="J52" s="6"/>
      <c r="K52" s="6"/>
      <c r="L52" s="6"/>
      <c r="M52" s="6" t="s">
        <v>25</v>
      </c>
      <c r="N52" s="6"/>
      <c r="O52" s="6"/>
      <c r="P52" s="6"/>
      <c r="Q52" s="6"/>
      <c r="R52" s="4">
        <v>1</v>
      </c>
    </row>
    <row r="53" spans="1:18" x14ac:dyDescent="0.4">
      <c r="A53" s="4" t="str">
        <f t="shared" si="0"/>
        <v>水產養殖學系</v>
      </c>
      <c r="B53" s="4" t="str">
        <f>"00633042"</f>
        <v>00633042</v>
      </c>
      <c r="C53" s="4" t="str">
        <f>"蘇健智"</f>
        <v>蘇健智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4"/>
    </row>
    <row r="54" spans="1:18" x14ac:dyDescent="0.4">
      <c r="A54" s="4" t="str">
        <f t="shared" si="0"/>
        <v>水產養殖學系</v>
      </c>
      <c r="B54" s="4" t="str">
        <f>"00633043"</f>
        <v>00633043</v>
      </c>
      <c r="C54" s="4" t="str">
        <f>"陳鍶?"</f>
        <v>陳鍶?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4"/>
    </row>
    <row r="55" spans="1:18" x14ac:dyDescent="0.4">
      <c r="A55" s="4" t="str">
        <f t="shared" si="0"/>
        <v>水產養殖學系</v>
      </c>
      <c r="B55" s="4" t="str">
        <f>"00633044"</f>
        <v>00633044</v>
      </c>
      <c r="C55" s="4" t="str">
        <f>"龍偉青"</f>
        <v>龍偉青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4"/>
    </row>
    <row r="56" spans="1:18" x14ac:dyDescent="0.4">
      <c r="A56" s="4" t="str">
        <f t="shared" si="0"/>
        <v>水產養殖學系</v>
      </c>
      <c r="B56" s="4" t="str">
        <f>"00633045"</f>
        <v>00633045</v>
      </c>
      <c r="C56" s="4" t="str">
        <f>"陳馨祖"</f>
        <v>陳馨祖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4"/>
    </row>
    <row r="57" spans="1:18" x14ac:dyDescent="0.4">
      <c r="A57" s="4" t="str">
        <f t="shared" si="0"/>
        <v>水產養殖學系</v>
      </c>
      <c r="B57" s="4" t="str">
        <f>"00633046"</f>
        <v>00633046</v>
      </c>
      <c r="C57" s="4" t="str">
        <f>"盧愷玲"</f>
        <v>盧愷玲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4"/>
    </row>
    <row r="58" spans="1:18" x14ac:dyDescent="0.4">
      <c r="A58" s="4" t="str">
        <f t="shared" si="0"/>
        <v>水產養殖學系</v>
      </c>
      <c r="B58" s="4" t="str">
        <f>"00633047"</f>
        <v>00633047</v>
      </c>
      <c r="C58" s="4" t="str">
        <f>"李昱澤"</f>
        <v>李昱澤</v>
      </c>
      <c r="D58" s="6"/>
      <c r="E58" s="6"/>
      <c r="F58" s="6" t="s">
        <v>25</v>
      </c>
      <c r="G58" s="6"/>
      <c r="H58" s="6"/>
      <c r="I58" s="6"/>
      <c r="J58" s="6" t="s">
        <v>25</v>
      </c>
      <c r="K58" s="6" t="s">
        <v>25</v>
      </c>
      <c r="L58" s="6" t="s">
        <v>25</v>
      </c>
      <c r="M58" s="6"/>
      <c r="N58" s="6"/>
      <c r="O58" s="6"/>
      <c r="P58" s="6" t="s">
        <v>25</v>
      </c>
      <c r="Q58" s="6" t="s">
        <v>25</v>
      </c>
      <c r="R58" s="4">
        <v>6</v>
      </c>
    </row>
    <row r="59" spans="1:18" x14ac:dyDescent="0.4">
      <c r="A59" s="4" t="str">
        <f t="shared" si="0"/>
        <v>水產養殖學系</v>
      </c>
      <c r="B59" s="4" t="str">
        <f>"00633048"</f>
        <v>00633048</v>
      </c>
      <c r="C59" s="4" t="str">
        <f>"黃偉鈴"</f>
        <v>黃偉鈴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4"/>
    </row>
    <row r="60" spans="1:18" x14ac:dyDescent="0.4">
      <c r="A60" s="4" t="str">
        <f t="shared" si="0"/>
        <v>水產養殖學系</v>
      </c>
      <c r="B60" s="4" t="str">
        <f>"00633101"</f>
        <v>00633101</v>
      </c>
      <c r="C60" s="4" t="str">
        <f>"許棋崴"</f>
        <v>許棋崴</v>
      </c>
      <c r="D60" s="6"/>
      <c r="E60" s="6" t="s">
        <v>25</v>
      </c>
      <c r="F60" s="6"/>
      <c r="G60" s="6"/>
      <c r="H60" s="6"/>
      <c r="I60" s="6" t="s">
        <v>25</v>
      </c>
      <c r="J60" s="6" t="s">
        <v>25</v>
      </c>
      <c r="K60" s="6"/>
      <c r="L60" s="6" t="s">
        <v>25</v>
      </c>
      <c r="M60" s="6"/>
      <c r="N60" s="6" t="s">
        <v>25</v>
      </c>
      <c r="O60" s="6"/>
      <c r="P60" s="6"/>
      <c r="Q60" s="6"/>
      <c r="R60" s="4">
        <v>5</v>
      </c>
    </row>
    <row r="61" spans="1:18" x14ac:dyDescent="0.4">
      <c r="A61" s="4" t="str">
        <f t="shared" si="0"/>
        <v>水產養殖學系</v>
      </c>
      <c r="B61" s="4" t="str">
        <f>"00633102"</f>
        <v>00633102</v>
      </c>
      <c r="C61" s="4" t="str">
        <f>"石珮妤"</f>
        <v>石珮妤</v>
      </c>
      <c r="D61" s="6"/>
      <c r="E61" s="6"/>
      <c r="F61" s="6"/>
      <c r="G61" s="6"/>
      <c r="H61" s="6" t="s">
        <v>25</v>
      </c>
      <c r="I61" s="6"/>
      <c r="J61" s="6"/>
      <c r="K61" s="6"/>
      <c r="L61" s="6"/>
      <c r="M61" s="6" t="s">
        <v>25</v>
      </c>
      <c r="N61" s="6"/>
      <c r="O61" s="6"/>
      <c r="P61" s="6"/>
      <c r="Q61" s="6" t="s">
        <v>25</v>
      </c>
      <c r="R61" s="4">
        <v>3</v>
      </c>
    </row>
    <row r="62" spans="1:18" x14ac:dyDescent="0.4">
      <c r="A62" s="4" t="str">
        <f t="shared" si="0"/>
        <v>水產養殖學系</v>
      </c>
      <c r="B62" s="4" t="str">
        <f>"00633103"</f>
        <v>00633103</v>
      </c>
      <c r="C62" s="4" t="str">
        <f>"張諶"</f>
        <v>張諶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4"/>
    </row>
    <row r="63" spans="1:18" x14ac:dyDescent="0.4">
      <c r="A63" s="4" t="str">
        <f t="shared" si="0"/>
        <v>水產養殖學系</v>
      </c>
      <c r="B63" s="4" t="str">
        <f>"00633104"</f>
        <v>00633104</v>
      </c>
      <c r="C63" s="4" t="str">
        <f>"陶奕璋"</f>
        <v>陶奕璋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4"/>
    </row>
    <row r="64" spans="1:18" x14ac:dyDescent="0.4">
      <c r="A64" s="4" t="str">
        <f t="shared" si="0"/>
        <v>水產養殖學系</v>
      </c>
      <c r="B64" s="4" t="str">
        <f>"00633105"</f>
        <v>00633105</v>
      </c>
      <c r="C64" s="4" t="str">
        <f>"王哲民"</f>
        <v>王哲民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4"/>
    </row>
    <row r="65" spans="1:18" x14ac:dyDescent="0.4">
      <c r="A65" s="4" t="str">
        <f t="shared" si="0"/>
        <v>水產養殖學系</v>
      </c>
      <c r="B65" s="4" t="str">
        <f>"00633106"</f>
        <v>00633106</v>
      </c>
      <c r="C65" s="4" t="str">
        <f>"吳松霑"</f>
        <v>吳松霑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 t="s">
        <v>25</v>
      </c>
      <c r="Q65" s="6"/>
      <c r="R65" s="4">
        <v>1</v>
      </c>
    </row>
    <row r="66" spans="1:18" x14ac:dyDescent="0.4">
      <c r="A66" s="4" t="str">
        <f t="shared" si="0"/>
        <v>水產養殖學系</v>
      </c>
      <c r="B66" s="4" t="str">
        <f>"00633107"</f>
        <v>00633107</v>
      </c>
      <c r="C66" s="4" t="str">
        <f>"呂昂"</f>
        <v>呂昂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4"/>
    </row>
    <row r="67" spans="1:18" x14ac:dyDescent="0.4">
      <c r="A67" s="4" t="str">
        <f t="shared" si="0"/>
        <v>水產養殖學系</v>
      </c>
      <c r="B67" s="4" t="str">
        <f>"00633108"</f>
        <v>00633108</v>
      </c>
      <c r="C67" s="4" t="str">
        <f>"洪國智"</f>
        <v>洪國智</v>
      </c>
      <c r="D67" s="6"/>
      <c r="E67" s="6"/>
      <c r="F67" s="6"/>
      <c r="G67" s="6"/>
      <c r="H67" s="6"/>
      <c r="I67" s="6"/>
      <c r="J67" s="6"/>
      <c r="K67" s="6"/>
      <c r="L67" s="6" t="s">
        <v>25</v>
      </c>
      <c r="M67" s="6"/>
      <c r="N67" s="6"/>
      <c r="O67" s="6"/>
      <c r="P67" s="6"/>
      <c r="Q67" s="6"/>
      <c r="R67" s="4">
        <v>1</v>
      </c>
    </row>
    <row r="68" spans="1:18" x14ac:dyDescent="0.4">
      <c r="A68" s="4" t="str">
        <f t="shared" si="0"/>
        <v>水產養殖學系</v>
      </c>
      <c r="B68" s="4" t="str">
        <f>"00633109"</f>
        <v>00633109</v>
      </c>
      <c r="C68" s="4" t="str">
        <f>"李承修"</f>
        <v>李承修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4"/>
    </row>
    <row r="69" spans="1:18" x14ac:dyDescent="0.4">
      <c r="A69" s="4" t="str">
        <f t="shared" si="0"/>
        <v>水產養殖學系</v>
      </c>
      <c r="B69" s="4" t="str">
        <f>"00633110"</f>
        <v>00633110</v>
      </c>
      <c r="C69" s="4" t="str">
        <f>"呂子玄"</f>
        <v>呂子玄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4"/>
    </row>
    <row r="70" spans="1:18" x14ac:dyDescent="0.4">
      <c r="A70" s="4" t="str">
        <f t="shared" si="0"/>
        <v>水產養殖學系</v>
      </c>
      <c r="B70" s="4" t="str">
        <f>"00633111"</f>
        <v>00633111</v>
      </c>
      <c r="C70" s="4" t="str">
        <f>"陳昱宏"</f>
        <v>陳昱宏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4"/>
    </row>
    <row r="71" spans="1:18" x14ac:dyDescent="0.4">
      <c r="A71" s="4" t="str">
        <f t="shared" si="0"/>
        <v>水產養殖學系</v>
      </c>
      <c r="B71" s="4" t="str">
        <f>"00633112"</f>
        <v>00633112</v>
      </c>
      <c r="C71" s="4" t="str">
        <f>"鄭元勛"</f>
        <v>鄭元勛</v>
      </c>
      <c r="D71" s="6"/>
      <c r="E71" s="6"/>
      <c r="F71" s="6"/>
      <c r="G71" s="6"/>
      <c r="H71" s="6"/>
      <c r="I71" s="6"/>
      <c r="J71" s="6"/>
      <c r="K71" s="6" t="s">
        <v>25</v>
      </c>
      <c r="L71" s="6"/>
      <c r="M71" s="6"/>
      <c r="N71" s="6" t="s">
        <v>25</v>
      </c>
      <c r="O71" s="6" t="s">
        <v>25</v>
      </c>
      <c r="P71" s="6"/>
      <c r="Q71" s="6"/>
      <c r="R71" s="4">
        <v>3</v>
      </c>
    </row>
    <row r="72" spans="1:18" x14ac:dyDescent="0.4">
      <c r="A72" s="4" t="str">
        <f t="shared" ref="A72:A108" si="1">"水產養殖學系"</f>
        <v>水產養殖學系</v>
      </c>
      <c r="B72" s="4" t="str">
        <f>"00633113"</f>
        <v>00633113</v>
      </c>
      <c r="C72" s="4" t="str">
        <f>"蘇品叡"</f>
        <v>蘇品叡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 t="s">
        <v>25</v>
      </c>
      <c r="P72" s="6"/>
      <c r="Q72" s="6"/>
      <c r="R72" s="4">
        <v>1</v>
      </c>
    </row>
    <row r="73" spans="1:18" x14ac:dyDescent="0.4">
      <c r="A73" s="4" t="str">
        <f t="shared" si="1"/>
        <v>水產養殖學系</v>
      </c>
      <c r="B73" s="4" t="str">
        <f>"00633114"</f>
        <v>00633114</v>
      </c>
      <c r="C73" s="4" t="str">
        <f>"蘇柏睿"</f>
        <v>蘇柏睿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 t="s">
        <v>25</v>
      </c>
      <c r="P73" s="6" t="s">
        <v>25</v>
      </c>
      <c r="Q73" s="6"/>
      <c r="R73" s="4">
        <v>2</v>
      </c>
    </row>
    <row r="74" spans="1:18" x14ac:dyDescent="0.4">
      <c r="A74" s="4" t="str">
        <f t="shared" si="1"/>
        <v>水產養殖學系</v>
      </c>
      <c r="B74" s="4" t="str">
        <f>"00633115"</f>
        <v>00633115</v>
      </c>
      <c r="C74" s="4" t="str">
        <f>"陳明威"</f>
        <v>陳明威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4"/>
    </row>
    <row r="75" spans="1:18" x14ac:dyDescent="0.4">
      <c r="A75" s="4" t="str">
        <f t="shared" si="1"/>
        <v>水產養殖學系</v>
      </c>
      <c r="B75" s="4" t="str">
        <f>"00633116"</f>
        <v>00633116</v>
      </c>
      <c r="C75" s="4" t="str">
        <f>"呂友?"</f>
        <v>呂友?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4"/>
    </row>
    <row r="76" spans="1:18" x14ac:dyDescent="0.4">
      <c r="A76" s="4" t="str">
        <f t="shared" si="1"/>
        <v>水產養殖學系</v>
      </c>
      <c r="B76" s="4" t="str">
        <f>"00633117"</f>
        <v>00633117</v>
      </c>
      <c r="C76" s="4" t="str">
        <f>"陳澤民"</f>
        <v>陳澤民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4"/>
    </row>
    <row r="77" spans="1:18" x14ac:dyDescent="0.4">
      <c r="A77" s="4" t="str">
        <f t="shared" si="1"/>
        <v>水產養殖學系</v>
      </c>
      <c r="B77" s="4" t="str">
        <f>"00633118"</f>
        <v>00633118</v>
      </c>
      <c r="C77" s="4" t="str">
        <f>"尚文翔"</f>
        <v>尚文翔</v>
      </c>
      <c r="D77" s="6"/>
      <c r="E77" s="6"/>
      <c r="F77" s="6"/>
      <c r="G77" s="6"/>
      <c r="H77" s="6"/>
      <c r="I77" s="6"/>
      <c r="J77" s="6"/>
      <c r="K77" s="6"/>
      <c r="L77" s="6" t="s">
        <v>25</v>
      </c>
      <c r="M77" s="6"/>
      <c r="N77" s="6"/>
      <c r="O77" s="6"/>
      <c r="P77" s="6"/>
      <c r="Q77" s="6"/>
      <c r="R77" s="4">
        <v>1</v>
      </c>
    </row>
    <row r="78" spans="1:18" x14ac:dyDescent="0.4">
      <c r="A78" s="4" t="str">
        <f t="shared" si="1"/>
        <v>水產養殖學系</v>
      </c>
      <c r="B78" s="4" t="str">
        <f>"00633119"</f>
        <v>00633119</v>
      </c>
      <c r="C78" s="4" t="str">
        <f>"楊興安"</f>
        <v>楊興安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4"/>
    </row>
    <row r="79" spans="1:18" x14ac:dyDescent="0.4">
      <c r="A79" s="4" t="str">
        <f t="shared" si="1"/>
        <v>水產養殖學系</v>
      </c>
      <c r="B79" s="4" t="str">
        <f>"00633120"</f>
        <v>00633120</v>
      </c>
      <c r="C79" s="4" t="str">
        <f>"許正俞"</f>
        <v>許正俞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4"/>
    </row>
    <row r="80" spans="1:18" x14ac:dyDescent="0.4">
      <c r="A80" s="4" t="str">
        <f t="shared" si="1"/>
        <v>水產養殖學系</v>
      </c>
      <c r="B80" s="4" t="str">
        <f>"00633121"</f>
        <v>00633121</v>
      </c>
      <c r="C80" s="4" t="str">
        <f>"賴義豐"</f>
        <v>賴義豐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4"/>
    </row>
    <row r="81" spans="1:18" x14ac:dyDescent="0.4">
      <c r="A81" s="4" t="str">
        <f t="shared" si="1"/>
        <v>水產養殖學系</v>
      </c>
      <c r="B81" s="4" t="str">
        <f>"00633122"</f>
        <v>00633122</v>
      </c>
      <c r="C81" s="4" t="str">
        <f>"賴星合"</f>
        <v>賴星合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4"/>
    </row>
    <row r="82" spans="1:18" x14ac:dyDescent="0.4">
      <c r="A82" s="4" t="str">
        <f t="shared" si="1"/>
        <v>水產養殖學系</v>
      </c>
      <c r="B82" s="4" t="str">
        <f>"00633123"</f>
        <v>00633123</v>
      </c>
      <c r="C82" s="4" t="str">
        <f>"康瑞軒"</f>
        <v>康瑞軒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 t="s">
        <v>25</v>
      </c>
      <c r="O82" s="6"/>
      <c r="P82" s="6"/>
      <c r="Q82" s="6"/>
      <c r="R82" s="4">
        <v>1</v>
      </c>
    </row>
    <row r="83" spans="1:18" x14ac:dyDescent="0.4">
      <c r="A83" s="4" t="str">
        <f t="shared" si="1"/>
        <v>水產養殖學系</v>
      </c>
      <c r="B83" s="4" t="str">
        <f>"00633124"</f>
        <v>00633124</v>
      </c>
      <c r="C83" s="4" t="str">
        <f>"陳靜琦"</f>
        <v>陳靜琦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4"/>
    </row>
    <row r="84" spans="1:18" x14ac:dyDescent="0.4">
      <c r="A84" s="4" t="str">
        <f t="shared" si="1"/>
        <v>水產養殖學系</v>
      </c>
      <c r="B84" s="4" t="str">
        <f>"00633125"</f>
        <v>00633125</v>
      </c>
      <c r="C84" s="4" t="str">
        <f>"呂子嫻"</f>
        <v>呂子嫻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4"/>
    </row>
    <row r="85" spans="1:18" x14ac:dyDescent="0.4">
      <c r="A85" s="4" t="str">
        <f t="shared" si="1"/>
        <v>水產養殖學系</v>
      </c>
      <c r="B85" s="4" t="str">
        <f>"00633126"</f>
        <v>00633126</v>
      </c>
      <c r="C85" s="4" t="str">
        <f>"李依旻"</f>
        <v>李依旻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4"/>
    </row>
    <row r="86" spans="1:18" x14ac:dyDescent="0.4">
      <c r="A86" s="4" t="str">
        <f t="shared" si="1"/>
        <v>水產養殖學系</v>
      </c>
      <c r="B86" s="4" t="str">
        <f>"00633127"</f>
        <v>00633127</v>
      </c>
      <c r="C86" s="4" t="str">
        <f>"官廷柔"</f>
        <v>官廷柔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4"/>
    </row>
    <row r="87" spans="1:18" x14ac:dyDescent="0.4">
      <c r="A87" s="4" t="str">
        <f t="shared" si="1"/>
        <v>水產養殖學系</v>
      </c>
      <c r="B87" s="4" t="str">
        <f>"00633128"</f>
        <v>00633128</v>
      </c>
      <c r="C87" s="4" t="str">
        <f>"詹筑鈞"</f>
        <v>詹筑鈞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 t="s">
        <v>25</v>
      </c>
      <c r="O87" s="6" t="s">
        <v>25</v>
      </c>
      <c r="P87" s="6"/>
      <c r="Q87" s="6"/>
      <c r="R87" s="4">
        <v>2</v>
      </c>
    </row>
    <row r="88" spans="1:18" x14ac:dyDescent="0.4">
      <c r="A88" s="4" t="str">
        <f t="shared" si="1"/>
        <v>水產養殖學系</v>
      </c>
      <c r="B88" s="4" t="str">
        <f>"00633129"</f>
        <v>00633129</v>
      </c>
      <c r="C88" s="4" t="str">
        <f>"張巧穎"</f>
        <v>張巧穎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 t="s">
        <v>25</v>
      </c>
      <c r="P88" s="6"/>
      <c r="Q88" s="6"/>
      <c r="R88" s="4">
        <v>1</v>
      </c>
    </row>
    <row r="89" spans="1:18" x14ac:dyDescent="0.4">
      <c r="A89" s="4" t="str">
        <f t="shared" si="1"/>
        <v>水產養殖學系</v>
      </c>
      <c r="B89" s="4" t="str">
        <f>"00633130"</f>
        <v>00633130</v>
      </c>
      <c r="C89" s="4" t="str">
        <f>"俞琬萱"</f>
        <v>俞琬萱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 t="s">
        <v>25</v>
      </c>
      <c r="P89" s="6"/>
      <c r="Q89" s="6"/>
      <c r="R89" s="4">
        <v>1</v>
      </c>
    </row>
    <row r="90" spans="1:18" x14ac:dyDescent="0.4">
      <c r="A90" s="4" t="str">
        <f t="shared" si="1"/>
        <v>水產養殖學系</v>
      </c>
      <c r="B90" s="4" t="str">
        <f>"00633131"</f>
        <v>00633131</v>
      </c>
      <c r="C90" s="4" t="str">
        <f>"劉莛妤"</f>
        <v>劉莛妤</v>
      </c>
      <c r="D90" s="6"/>
      <c r="E90" s="6"/>
      <c r="F90" s="6"/>
      <c r="G90" s="6"/>
      <c r="H90" s="6"/>
      <c r="I90" s="6" t="s">
        <v>25</v>
      </c>
      <c r="J90" s="6"/>
      <c r="K90" s="6"/>
      <c r="L90" s="6"/>
      <c r="M90" s="6"/>
      <c r="N90" s="6" t="s">
        <v>25</v>
      </c>
      <c r="O90" s="6" t="s">
        <v>25</v>
      </c>
      <c r="P90" s="6"/>
      <c r="Q90" s="6"/>
      <c r="R90" s="4">
        <v>3</v>
      </c>
    </row>
    <row r="91" spans="1:18" x14ac:dyDescent="0.4">
      <c r="A91" s="4" t="str">
        <f t="shared" si="1"/>
        <v>水產養殖學系</v>
      </c>
      <c r="B91" s="4" t="str">
        <f>"00633132"</f>
        <v>00633132</v>
      </c>
      <c r="C91" s="4" t="str">
        <f>"鄧寓祥"</f>
        <v>鄧寓祥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4"/>
    </row>
    <row r="92" spans="1:18" x14ac:dyDescent="0.4">
      <c r="A92" s="4" t="str">
        <f t="shared" si="1"/>
        <v>水產養殖學系</v>
      </c>
      <c r="B92" s="4" t="str">
        <f>"00633133"</f>
        <v>00633133</v>
      </c>
      <c r="C92" s="4" t="str">
        <f>"秦丕璐"</f>
        <v>秦丕璐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4"/>
    </row>
    <row r="93" spans="1:18" x14ac:dyDescent="0.4">
      <c r="A93" s="4" t="str">
        <f t="shared" si="1"/>
        <v>水產養殖學系</v>
      </c>
      <c r="B93" s="4" t="str">
        <f>"00633134"</f>
        <v>00633134</v>
      </c>
      <c r="C93" s="4" t="str">
        <f>"吳魏辰"</f>
        <v>吳魏辰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4"/>
    </row>
    <row r="94" spans="1:18" x14ac:dyDescent="0.4">
      <c r="A94" s="4" t="str">
        <f t="shared" si="1"/>
        <v>水產養殖學系</v>
      </c>
      <c r="B94" s="4" t="str">
        <f>"00633135"</f>
        <v>00633135</v>
      </c>
      <c r="C94" s="4" t="str">
        <f>"沈維繹"</f>
        <v>沈維繹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4"/>
    </row>
    <row r="95" spans="1:18" x14ac:dyDescent="0.4">
      <c r="A95" s="4" t="s">
        <v>0</v>
      </c>
      <c r="B95" s="4" t="s">
        <v>1</v>
      </c>
      <c r="C95" s="4" t="s">
        <v>3</v>
      </c>
      <c r="D95" s="1" t="s">
        <v>12</v>
      </c>
      <c r="E95" s="1" t="s">
        <v>13</v>
      </c>
      <c r="F95" s="1" t="s">
        <v>14</v>
      </c>
      <c r="G95" s="1" t="s">
        <v>15</v>
      </c>
      <c r="H95" s="1" t="s">
        <v>16</v>
      </c>
      <c r="I95" s="1" t="s">
        <v>17</v>
      </c>
      <c r="J95" s="1" t="s">
        <v>10</v>
      </c>
      <c r="K95" s="1" t="s">
        <v>18</v>
      </c>
      <c r="L95" s="2" t="s">
        <v>19</v>
      </c>
      <c r="M95" s="3" t="s">
        <v>20</v>
      </c>
      <c r="N95" s="3" t="s">
        <v>21</v>
      </c>
      <c r="O95" s="3" t="s">
        <v>22</v>
      </c>
      <c r="P95" s="3" t="s">
        <v>23</v>
      </c>
      <c r="Q95" s="3" t="s">
        <v>24</v>
      </c>
      <c r="R95" s="1" t="s">
        <v>11</v>
      </c>
    </row>
    <row r="96" spans="1:18" x14ac:dyDescent="0.4">
      <c r="A96" s="4" t="str">
        <f t="shared" si="1"/>
        <v>水產養殖學系</v>
      </c>
      <c r="B96" s="4" t="str">
        <f>"00633136"</f>
        <v>00633136</v>
      </c>
      <c r="C96" s="4" t="str">
        <f>"許智盈"</f>
        <v>許智盈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 t="s">
        <v>25</v>
      </c>
      <c r="O96" s="6" t="s">
        <v>25</v>
      </c>
      <c r="P96" s="6"/>
      <c r="Q96" s="6"/>
      <c r="R96" s="4">
        <v>2</v>
      </c>
    </row>
    <row r="97" spans="1:18" x14ac:dyDescent="0.4">
      <c r="A97" s="4" t="str">
        <f t="shared" si="1"/>
        <v>水產養殖學系</v>
      </c>
      <c r="B97" s="4" t="str">
        <f>"00633137"</f>
        <v>00633137</v>
      </c>
      <c r="C97" s="4" t="str">
        <f>"羅廣元"</f>
        <v>羅廣元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4"/>
    </row>
    <row r="98" spans="1:18" x14ac:dyDescent="0.4">
      <c r="A98" s="4" t="str">
        <f t="shared" si="1"/>
        <v>水產養殖學系</v>
      </c>
      <c r="B98" s="4" t="str">
        <f>"00633138"</f>
        <v>00633138</v>
      </c>
      <c r="C98" s="4" t="str">
        <f>"洪得威"</f>
        <v>洪得威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4"/>
    </row>
    <row r="99" spans="1:18" x14ac:dyDescent="0.4">
      <c r="A99" s="4" t="str">
        <f t="shared" si="1"/>
        <v>水產養殖學系</v>
      </c>
      <c r="B99" s="4" t="str">
        <f>"00633139"</f>
        <v>00633139</v>
      </c>
      <c r="C99" s="4" t="str">
        <f>"陳樹順"</f>
        <v>陳樹順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4"/>
    </row>
    <row r="100" spans="1:18" x14ac:dyDescent="0.4">
      <c r="A100" s="4" t="str">
        <f t="shared" si="1"/>
        <v>水產養殖學系</v>
      </c>
      <c r="B100" s="4" t="str">
        <f>"00633140"</f>
        <v>00633140</v>
      </c>
      <c r="C100" s="4" t="str">
        <f>"游成融"</f>
        <v>游成融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4"/>
    </row>
    <row r="101" spans="1:18" x14ac:dyDescent="0.4">
      <c r="A101" s="4" t="str">
        <f t="shared" si="1"/>
        <v>水產養殖學系</v>
      </c>
      <c r="B101" s="4" t="str">
        <f>"00633141"</f>
        <v>00633141</v>
      </c>
      <c r="C101" s="4" t="str">
        <f>"葉耀駿"</f>
        <v>葉耀駿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4"/>
    </row>
    <row r="102" spans="1:18" x14ac:dyDescent="0.4">
      <c r="A102" s="4" t="str">
        <f t="shared" si="1"/>
        <v>水產養殖學系</v>
      </c>
      <c r="B102" s="4" t="str">
        <f>"00633142"</f>
        <v>00633142</v>
      </c>
      <c r="C102" s="4" t="str">
        <f>"梁冠宇"</f>
        <v>梁冠宇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4"/>
    </row>
    <row r="103" spans="1:18" x14ac:dyDescent="0.4">
      <c r="A103" s="4" t="str">
        <f t="shared" si="1"/>
        <v>水產養殖學系</v>
      </c>
      <c r="B103" s="4" t="str">
        <f>"00633143"</f>
        <v>00633143</v>
      </c>
      <c r="C103" s="4" t="str">
        <f>"陳宇軒"</f>
        <v>陳宇軒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4"/>
    </row>
    <row r="104" spans="1:18" x14ac:dyDescent="0.4">
      <c r="A104" s="4" t="str">
        <f t="shared" si="1"/>
        <v>水產養殖學系</v>
      </c>
      <c r="B104" s="4" t="str">
        <f>"00633144"</f>
        <v>00633144</v>
      </c>
      <c r="C104" s="4" t="str">
        <f>"顏鴻晉"</f>
        <v>顏鴻晉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4"/>
    </row>
    <row r="105" spans="1:18" x14ac:dyDescent="0.4">
      <c r="A105" s="4" t="str">
        <f t="shared" si="1"/>
        <v>水產養殖學系</v>
      </c>
      <c r="B105" s="4" t="str">
        <f>"00633146"</f>
        <v>00633146</v>
      </c>
      <c r="C105" s="4" t="str">
        <f>"林孔富"</f>
        <v>林孔富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4"/>
    </row>
    <row r="106" spans="1:18" x14ac:dyDescent="0.4">
      <c r="A106" s="4" t="str">
        <f t="shared" si="1"/>
        <v>水產養殖學系</v>
      </c>
      <c r="B106" s="4" t="str">
        <f>"00633147"</f>
        <v>00633147</v>
      </c>
      <c r="C106" s="4" t="str">
        <f>"陳凱傑"</f>
        <v>陳凱傑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4"/>
    </row>
    <row r="107" spans="1:18" x14ac:dyDescent="0.4">
      <c r="A107" s="4" t="str">
        <f t="shared" si="1"/>
        <v>水產養殖學系</v>
      </c>
      <c r="B107" s="4" t="str">
        <f>"00633148"</f>
        <v>00633148</v>
      </c>
      <c r="C107" s="4" t="str">
        <f>"蔡長晉"</f>
        <v>蔡長晉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4"/>
    </row>
    <row r="108" spans="1:18" x14ac:dyDescent="0.4">
      <c r="A108" s="4" t="str">
        <f t="shared" si="1"/>
        <v>水產養殖學系</v>
      </c>
      <c r="B108" s="4" t="str">
        <f>"00633149"</f>
        <v>00633149</v>
      </c>
      <c r="C108" s="4" t="str">
        <f>"鄧志毅"</f>
        <v>鄧志毅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4"/>
    </row>
    <row r="109" spans="1:18" x14ac:dyDescent="0.4">
      <c r="A109" s="4"/>
      <c r="B109" s="4"/>
      <c r="C109" s="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4"/>
    </row>
    <row r="110" spans="1:18" x14ac:dyDescent="0.4">
      <c r="A110" s="4"/>
      <c r="B110" s="4"/>
      <c r="C110" s="4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4"/>
    </row>
    <row r="111" spans="1:18" x14ac:dyDescent="0.4">
      <c r="A111" s="4"/>
      <c r="B111" s="4"/>
      <c r="C111" s="4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4"/>
    </row>
    <row r="112" spans="1:18" x14ac:dyDescent="0.4">
      <c r="A112" s="4"/>
      <c r="B112" s="4"/>
      <c r="C112" s="4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4"/>
    </row>
    <row r="113" spans="1:18" x14ac:dyDescent="0.4">
      <c r="A113" s="4"/>
      <c r="B113" s="4"/>
      <c r="C113" s="4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4"/>
    </row>
    <row r="114" spans="1:18" x14ac:dyDescent="0.4">
      <c r="A114" s="4"/>
      <c r="B114" s="4"/>
      <c r="C114" s="4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4"/>
    </row>
    <row r="115" spans="1:18" x14ac:dyDescent="0.4">
      <c r="A115" s="4"/>
      <c r="B115" s="4"/>
      <c r="C115" s="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4"/>
    </row>
    <row r="116" spans="1:18" x14ac:dyDescent="0.4">
      <c r="A116" s="4"/>
      <c r="B116" s="4"/>
      <c r="C116" s="4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4"/>
    </row>
    <row r="117" spans="1:18" x14ac:dyDescent="0.4">
      <c r="A117" s="4"/>
      <c r="B117" s="4"/>
      <c r="C117" s="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4"/>
    </row>
    <row r="118" spans="1:18" x14ac:dyDescent="0.4">
      <c r="A118" s="4"/>
      <c r="B118" s="4"/>
      <c r="C118" s="4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4"/>
    </row>
    <row r="119" spans="1:18" x14ac:dyDescent="0.4">
      <c r="A119" s="4"/>
      <c r="B119" s="4"/>
      <c r="C119" s="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4"/>
    </row>
    <row r="120" spans="1:18" x14ac:dyDescent="0.4">
      <c r="A120" s="4"/>
      <c r="B120" s="4"/>
      <c r="C120" s="4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4"/>
    </row>
    <row r="121" spans="1:18" x14ac:dyDescent="0.4">
      <c r="A121" s="4"/>
      <c r="B121" s="4"/>
      <c r="C121" s="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4"/>
    </row>
    <row r="122" spans="1:18" x14ac:dyDescent="0.4">
      <c r="A122" s="4"/>
      <c r="B122" s="4"/>
      <c r="C122" s="4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4"/>
    </row>
    <row r="123" spans="1:18" x14ac:dyDescent="0.4">
      <c r="A123" s="4"/>
      <c r="B123" s="4"/>
      <c r="C123" s="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4"/>
    </row>
    <row r="124" spans="1:18" x14ac:dyDescent="0.4">
      <c r="A124" s="4"/>
      <c r="B124" s="4"/>
      <c r="C124" s="4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4"/>
    </row>
    <row r="125" spans="1:18" x14ac:dyDescent="0.4">
      <c r="A125" s="4"/>
      <c r="B125" s="4"/>
      <c r="C125" s="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4"/>
    </row>
    <row r="126" spans="1:18" x14ac:dyDescent="0.4">
      <c r="A126" s="4"/>
      <c r="B126" s="4"/>
      <c r="C126" s="4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4"/>
    </row>
    <row r="127" spans="1:18" x14ac:dyDescent="0.4">
      <c r="A127" s="4"/>
      <c r="B127" s="4"/>
      <c r="C127" s="4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4"/>
    </row>
    <row r="128" spans="1:18" x14ac:dyDescent="0.4">
      <c r="A128" s="4"/>
      <c r="B128" s="4"/>
      <c r="C128" s="4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4"/>
    </row>
    <row r="129" spans="1:18" x14ac:dyDescent="0.4">
      <c r="A129" s="4"/>
      <c r="B129" s="4"/>
      <c r="C129" s="4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4"/>
    </row>
    <row r="130" spans="1:18" x14ac:dyDescent="0.4">
      <c r="A130" s="4"/>
      <c r="B130" s="4"/>
      <c r="C130" s="4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4"/>
    </row>
    <row r="131" spans="1:18" x14ac:dyDescent="0.4">
      <c r="A131" s="4"/>
      <c r="B131" s="4"/>
      <c r="C131" s="4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4"/>
    </row>
    <row r="132" spans="1:18" x14ac:dyDescent="0.4">
      <c r="A132" s="4"/>
      <c r="B132" s="4"/>
      <c r="C132" s="4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4"/>
    </row>
    <row r="133" spans="1:18" x14ac:dyDescent="0.4">
      <c r="A133" s="4"/>
      <c r="B133" s="4"/>
      <c r="C133" s="4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4"/>
    </row>
    <row r="134" spans="1:18" x14ac:dyDescent="0.4">
      <c r="A134" s="4"/>
      <c r="B134" s="4"/>
      <c r="C134" s="4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4"/>
    </row>
    <row r="135" spans="1:18" x14ac:dyDescent="0.4">
      <c r="A135" s="4"/>
      <c r="B135" s="4"/>
      <c r="C135" s="4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4"/>
    </row>
    <row r="136" spans="1:18" x14ac:dyDescent="0.4">
      <c r="A136" s="4"/>
      <c r="B136" s="4"/>
      <c r="C136" s="4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4"/>
    </row>
    <row r="137" spans="1:18" x14ac:dyDescent="0.4">
      <c r="A137" s="4"/>
      <c r="B137" s="4"/>
      <c r="C137" s="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4"/>
    </row>
    <row r="138" spans="1:18" x14ac:dyDescent="0.4">
      <c r="A138" s="4"/>
      <c r="B138" s="4"/>
      <c r="C138" s="4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4"/>
    </row>
    <row r="139" spans="1:18" x14ac:dyDescent="0.4">
      <c r="A139" s="4"/>
      <c r="B139" s="4"/>
      <c r="C139" s="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4"/>
    </row>
    <row r="140" spans="1:18" x14ac:dyDescent="0.4">
      <c r="A140" s="4"/>
      <c r="B140" s="4"/>
      <c r="C140" s="4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4"/>
    </row>
    <row r="141" spans="1:18" x14ac:dyDescent="0.4">
      <c r="A141" s="4"/>
      <c r="B141" s="4"/>
      <c r="C141" s="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4"/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&amp;C1061化學補強教學出席率登記本</oddHeader>
    <oddFooter>&amp;C&amp;A&amp;R第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Layout" topLeftCell="A127" zoomScale="90" zoomScalePageLayoutView="90" workbookViewId="0">
      <selection activeCell="A115" sqref="A115:R115"/>
    </sheetView>
  </sheetViews>
  <sheetFormatPr defaultColWidth="8.7265625" defaultRowHeight="17" x14ac:dyDescent="0.4"/>
  <cols>
    <col min="1" max="1" width="6.08984375" customWidth="1"/>
    <col min="3" max="3" width="8" customWidth="1"/>
    <col min="4" max="18" width="4.6328125" customWidth="1"/>
  </cols>
  <sheetData>
    <row r="1" spans="1:18" x14ac:dyDescent="0.4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1" t="s">
        <v>11</v>
      </c>
    </row>
    <row r="3" spans="1:18" x14ac:dyDescent="0.4">
      <c r="A3" s="4" t="str">
        <f>"食品科學系生物科技組"</f>
        <v>食品科學系生物科技組</v>
      </c>
      <c r="B3" s="4" t="str">
        <f>"0033A021"</f>
        <v>0033A021</v>
      </c>
      <c r="C3" s="4" t="str">
        <f>"張天明"</f>
        <v>張天明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"/>
    </row>
    <row r="4" spans="1:18" x14ac:dyDescent="0.4">
      <c r="A4" s="4" t="str">
        <f>"水產養殖學系"</f>
        <v>水產養殖學系</v>
      </c>
      <c r="B4" s="4" t="str">
        <f>"00431009"</f>
        <v>00431009</v>
      </c>
      <c r="C4" s="4" t="str">
        <f>"張煦誠"</f>
        <v>張煦誠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25</v>
      </c>
      <c r="P4" s="6"/>
      <c r="Q4" s="6"/>
      <c r="R4" s="4">
        <v>1</v>
      </c>
    </row>
    <row r="5" spans="1:18" x14ac:dyDescent="0.4">
      <c r="A5" s="4" t="str">
        <f>"食品科學系生物科技組"</f>
        <v>食品科學系生物科技組</v>
      </c>
      <c r="B5" s="4" t="str">
        <f>"0043A023"</f>
        <v>0043A023</v>
      </c>
      <c r="C5" s="4" t="str">
        <f>"王梓萱"</f>
        <v>王梓萱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/>
    </row>
    <row r="6" spans="1:18" x14ac:dyDescent="0.4">
      <c r="A6" s="4" t="str">
        <f>"水產養殖學系"</f>
        <v>水產養殖學系</v>
      </c>
      <c r="B6" s="4" t="str">
        <f>"00533213"</f>
        <v>00533213</v>
      </c>
      <c r="C6" s="4" t="str">
        <f>"傅佳瑄"</f>
        <v>傅佳瑄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"/>
    </row>
    <row r="7" spans="1:18" x14ac:dyDescent="0.4">
      <c r="A7" s="4" t="str">
        <f t="shared" ref="A7:A66" si="0">"食品科學系食品科學組"</f>
        <v>食品科學系食品科學組</v>
      </c>
      <c r="B7" s="4" t="str">
        <f>"00639001"</f>
        <v>00639001</v>
      </c>
      <c r="C7" s="4" t="str">
        <f>"顏毓寬"</f>
        <v>顏毓寬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"/>
    </row>
    <row r="8" spans="1:18" x14ac:dyDescent="0.4">
      <c r="A8" s="4" t="str">
        <f t="shared" si="0"/>
        <v>食品科學系食品科學組</v>
      </c>
      <c r="B8" s="4" t="str">
        <f>"00639002"</f>
        <v>00639002</v>
      </c>
      <c r="C8" s="4" t="str">
        <f>"陳妍安"</f>
        <v>陳妍安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/>
    </row>
    <row r="9" spans="1:18" x14ac:dyDescent="0.4">
      <c r="A9" s="4" t="str">
        <f t="shared" si="0"/>
        <v>食品科學系食品科學組</v>
      </c>
      <c r="B9" s="4" t="str">
        <f>"00639003"</f>
        <v>00639003</v>
      </c>
      <c r="C9" s="4" t="str">
        <f>"王映菩"</f>
        <v>王映菩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4"/>
    </row>
    <row r="10" spans="1:18" x14ac:dyDescent="0.4">
      <c r="A10" s="4" t="str">
        <f t="shared" si="0"/>
        <v>食品科學系食品科學組</v>
      </c>
      <c r="B10" s="4" t="str">
        <f>"00639004"</f>
        <v>00639004</v>
      </c>
      <c r="C10" s="4" t="str">
        <f>"林姿涵"</f>
        <v>林姿涵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4"/>
    </row>
    <row r="11" spans="1:18" x14ac:dyDescent="0.4">
      <c r="A11" s="4" t="str">
        <f t="shared" si="0"/>
        <v>食品科學系食品科學組</v>
      </c>
      <c r="B11" s="4" t="str">
        <f>"00639005"</f>
        <v>00639005</v>
      </c>
      <c r="C11" s="4" t="str">
        <f>"曾思涵"</f>
        <v>曾思涵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4"/>
    </row>
    <row r="12" spans="1:18" x14ac:dyDescent="0.4">
      <c r="A12" s="4" t="str">
        <f t="shared" si="0"/>
        <v>食品科學系食品科學組</v>
      </c>
      <c r="B12" s="4" t="str">
        <f>"00639006"</f>
        <v>00639006</v>
      </c>
      <c r="C12" s="4" t="str">
        <f>"侯士為"</f>
        <v>侯士為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</row>
    <row r="13" spans="1:18" x14ac:dyDescent="0.4">
      <c r="A13" s="4" t="str">
        <f t="shared" si="0"/>
        <v>食品科學系食品科學組</v>
      </c>
      <c r="B13" s="4" t="str">
        <f>"00639007"</f>
        <v>00639007</v>
      </c>
      <c r="C13" s="4" t="str">
        <f>"張証瑋"</f>
        <v>張証瑋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"/>
    </row>
    <row r="14" spans="1:18" x14ac:dyDescent="0.4">
      <c r="A14" s="4" t="str">
        <f t="shared" si="0"/>
        <v>食品科學系食品科學組</v>
      </c>
      <c r="B14" s="4" t="str">
        <f>"00639008"</f>
        <v>00639008</v>
      </c>
      <c r="C14" s="4" t="str">
        <f>"余家綺"</f>
        <v>余家綺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</row>
    <row r="15" spans="1:18" x14ac:dyDescent="0.4">
      <c r="A15" s="4" t="str">
        <f t="shared" si="0"/>
        <v>食品科學系食品科學組</v>
      </c>
      <c r="B15" s="4" t="str">
        <f>"00639009"</f>
        <v>00639009</v>
      </c>
      <c r="C15" s="4" t="str">
        <f>"葉歷臻"</f>
        <v>葉歷臻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</row>
    <row r="16" spans="1:18" x14ac:dyDescent="0.4">
      <c r="A16" s="4" t="str">
        <f t="shared" si="0"/>
        <v>食品科學系食品科學組</v>
      </c>
      <c r="B16" s="4" t="str">
        <f>"00639010"</f>
        <v>00639010</v>
      </c>
      <c r="C16" s="4" t="str">
        <f>"楊顯一"</f>
        <v>楊顯一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4"/>
    </row>
    <row r="17" spans="1:18" x14ac:dyDescent="0.4">
      <c r="A17" s="4" t="str">
        <f t="shared" si="0"/>
        <v>食品科學系食品科學組</v>
      </c>
      <c r="B17" s="4" t="str">
        <f>"00639011"</f>
        <v>00639011</v>
      </c>
      <c r="C17" s="4" t="str">
        <f>"高玫萱"</f>
        <v>高玫萱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4"/>
    </row>
    <row r="18" spans="1:18" x14ac:dyDescent="0.4">
      <c r="A18" s="4" t="str">
        <f t="shared" si="0"/>
        <v>食品科學系食品科學組</v>
      </c>
      <c r="B18" s="4" t="str">
        <f>"00639012"</f>
        <v>00639012</v>
      </c>
      <c r="C18" s="4" t="str">
        <f>"林其萱"</f>
        <v>林其萱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</row>
    <row r="19" spans="1:18" x14ac:dyDescent="0.4">
      <c r="A19" s="4" t="str">
        <f t="shared" si="0"/>
        <v>食品科學系食品科學組</v>
      </c>
      <c r="B19" s="4" t="str">
        <f>"00639013"</f>
        <v>00639013</v>
      </c>
      <c r="C19" s="4" t="str">
        <f>"林芙名"</f>
        <v>林芙名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"/>
    </row>
    <row r="20" spans="1:18" x14ac:dyDescent="0.4">
      <c r="A20" s="4" t="str">
        <f t="shared" si="0"/>
        <v>食品科學系食品科學組</v>
      </c>
      <c r="B20" s="4" t="str">
        <f>"00639014"</f>
        <v>00639014</v>
      </c>
      <c r="C20" s="4" t="str">
        <f>"廖偉志"</f>
        <v>廖偉志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4"/>
    </row>
    <row r="21" spans="1:18" x14ac:dyDescent="0.4">
      <c r="A21" s="4" t="str">
        <f t="shared" si="0"/>
        <v>食品科學系食品科學組</v>
      </c>
      <c r="B21" s="4" t="str">
        <f>"00639015"</f>
        <v>00639015</v>
      </c>
      <c r="C21" s="4" t="str">
        <f>"晏常修"</f>
        <v>晏常修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4"/>
    </row>
    <row r="22" spans="1:18" x14ac:dyDescent="0.4">
      <c r="A22" s="4" t="str">
        <f t="shared" si="0"/>
        <v>食品科學系食品科學組</v>
      </c>
      <c r="B22" s="4" t="str">
        <f>"00639016"</f>
        <v>00639016</v>
      </c>
      <c r="C22" s="4" t="str">
        <f>"陳梓涵"</f>
        <v>陳梓涵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4"/>
    </row>
    <row r="23" spans="1:18" x14ac:dyDescent="0.4">
      <c r="A23" s="4" t="str">
        <f t="shared" si="0"/>
        <v>食品科學系食品科學組</v>
      </c>
      <c r="B23" s="4" t="str">
        <f>"00639017"</f>
        <v>00639017</v>
      </c>
      <c r="C23" s="4" t="str">
        <f>"陳彥廷"</f>
        <v>陳彥廷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4"/>
    </row>
    <row r="24" spans="1:18" x14ac:dyDescent="0.4">
      <c r="A24" s="4" t="str">
        <f t="shared" si="0"/>
        <v>食品科學系食品科學組</v>
      </c>
      <c r="B24" s="4" t="str">
        <f>"00639018"</f>
        <v>00639018</v>
      </c>
      <c r="C24" s="4" t="str">
        <f>"朱翊齊"</f>
        <v>朱翊齊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4"/>
    </row>
    <row r="25" spans="1:18" x14ac:dyDescent="0.4">
      <c r="A25" s="4" t="str">
        <f t="shared" si="0"/>
        <v>食品科學系食品科學組</v>
      </c>
      <c r="B25" s="4" t="str">
        <f>"00639019"</f>
        <v>00639019</v>
      </c>
      <c r="C25" s="4" t="str">
        <f>"楊尊宇"</f>
        <v>楊尊宇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4"/>
    </row>
    <row r="26" spans="1:18" x14ac:dyDescent="0.4">
      <c r="A26" s="4" t="str">
        <f t="shared" si="0"/>
        <v>食品科學系食品科學組</v>
      </c>
      <c r="B26" s="4" t="str">
        <f>"00639020"</f>
        <v>00639020</v>
      </c>
      <c r="C26" s="4" t="str">
        <f>"姜皓鈞"</f>
        <v>姜皓鈞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4"/>
    </row>
    <row r="27" spans="1:18" x14ac:dyDescent="0.4">
      <c r="A27" s="4" t="str">
        <f t="shared" si="0"/>
        <v>食品科學系食品科學組</v>
      </c>
      <c r="B27" s="4" t="str">
        <f>"00639021"</f>
        <v>00639021</v>
      </c>
      <c r="C27" s="4" t="str">
        <f>"黃心玟"</f>
        <v>黃心玟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4"/>
    </row>
    <row r="28" spans="1:18" x14ac:dyDescent="0.4">
      <c r="A28" s="4" t="str">
        <f t="shared" si="0"/>
        <v>食品科學系食品科學組</v>
      </c>
      <c r="B28" s="4" t="str">
        <f>"00639022"</f>
        <v>00639022</v>
      </c>
      <c r="C28" s="4" t="str">
        <f>"施杰寰"</f>
        <v>施杰寰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4"/>
    </row>
    <row r="29" spans="1:18" x14ac:dyDescent="0.4">
      <c r="A29" s="4" t="str">
        <f t="shared" si="0"/>
        <v>食品科學系食品科學組</v>
      </c>
      <c r="B29" s="4" t="str">
        <f>"00639023"</f>
        <v>00639023</v>
      </c>
      <c r="C29" s="4" t="str">
        <f>"葉于嘉"</f>
        <v>葉于嘉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4"/>
    </row>
    <row r="30" spans="1:18" x14ac:dyDescent="0.4">
      <c r="A30" s="4" t="str">
        <f t="shared" si="0"/>
        <v>食品科學系食品科學組</v>
      </c>
      <c r="B30" s="4" t="str">
        <f>"00639024"</f>
        <v>00639024</v>
      </c>
      <c r="C30" s="4" t="str">
        <f>"董明恩"</f>
        <v>董明恩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4"/>
    </row>
    <row r="31" spans="1:18" x14ac:dyDescent="0.4">
      <c r="A31" s="4" t="str">
        <f t="shared" si="0"/>
        <v>食品科學系食品科學組</v>
      </c>
      <c r="B31" s="4" t="str">
        <f>"00639025"</f>
        <v>00639025</v>
      </c>
      <c r="C31" s="4" t="str">
        <f>"郭琬愉"</f>
        <v>郭琬愉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4"/>
    </row>
    <row r="32" spans="1:18" x14ac:dyDescent="0.4">
      <c r="A32" s="4" t="str">
        <f t="shared" si="0"/>
        <v>食品科學系食品科學組</v>
      </c>
      <c r="B32" s="4" t="str">
        <f>"00639026"</f>
        <v>00639026</v>
      </c>
      <c r="C32" s="4" t="str">
        <f>"林郁芸"</f>
        <v>林郁芸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4"/>
    </row>
    <row r="33" spans="1:18" x14ac:dyDescent="0.4">
      <c r="A33" s="4" t="str">
        <f t="shared" si="0"/>
        <v>食品科學系食品科學組</v>
      </c>
      <c r="B33" s="4" t="str">
        <f>"00639027"</f>
        <v>00639027</v>
      </c>
      <c r="C33" s="4" t="str">
        <f>"劉郁玟"</f>
        <v>劉郁玟</v>
      </c>
      <c r="D33" s="6"/>
      <c r="E33" s="6"/>
      <c r="F33" s="6"/>
      <c r="G33" s="6"/>
      <c r="H33" s="6"/>
      <c r="I33" s="6"/>
      <c r="J33" s="6"/>
      <c r="K33" s="6"/>
      <c r="L33" s="6"/>
      <c r="M33" s="6" t="s">
        <v>25</v>
      </c>
      <c r="N33" s="6"/>
      <c r="O33" s="6"/>
      <c r="P33" s="6"/>
      <c r="Q33" s="6" t="s">
        <v>25</v>
      </c>
      <c r="R33" s="4">
        <v>2</v>
      </c>
    </row>
    <row r="34" spans="1:18" x14ac:dyDescent="0.4">
      <c r="A34" s="4" t="str">
        <f t="shared" si="0"/>
        <v>食品科學系食品科學組</v>
      </c>
      <c r="B34" s="4" t="str">
        <f>"00639028"</f>
        <v>00639028</v>
      </c>
      <c r="C34" s="4" t="str">
        <f>"曾莉珈"</f>
        <v>曾莉珈</v>
      </c>
      <c r="D34" s="6" t="s">
        <v>25</v>
      </c>
      <c r="E34" s="6"/>
      <c r="F34" s="6"/>
      <c r="G34" s="6"/>
      <c r="H34" s="6"/>
      <c r="I34" s="6"/>
      <c r="J34" s="6"/>
      <c r="K34" s="6"/>
      <c r="L34" s="6"/>
      <c r="M34" s="6" t="s">
        <v>25</v>
      </c>
      <c r="N34" s="6"/>
      <c r="O34" s="6"/>
      <c r="P34" s="6"/>
      <c r="Q34" s="6" t="s">
        <v>25</v>
      </c>
      <c r="R34" s="4">
        <v>3</v>
      </c>
    </row>
    <row r="35" spans="1:18" x14ac:dyDescent="0.4">
      <c r="A35" s="4" t="str">
        <f t="shared" si="0"/>
        <v>食品科學系食品科學組</v>
      </c>
      <c r="B35" s="4" t="str">
        <f>"00639029"</f>
        <v>00639029</v>
      </c>
      <c r="C35" s="4" t="str">
        <f>"郭家銘"</f>
        <v>郭家銘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4"/>
    </row>
    <row r="36" spans="1:18" x14ac:dyDescent="0.4">
      <c r="A36" s="4" t="str">
        <f t="shared" si="0"/>
        <v>食品科學系食品科學組</v>
      </c>
      <c r="B36" s="4" t="str">
        <f>"00639030"</f>
        <v>00639030</v>
      </c>
      <c r="C36" s="4" t="str">
        <f>"徐煌凱"</f>
        <v>徐煌凱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4"/>
    </row>
    <row r="37" spans="1:18" x14ac:dyDescent="0.4">
      <c r="A37" s="4" t="str">
        <f t="shared" si="0"/>
        <v>食品科學系食品科學組</v>
      </c>
      <c r="B37" s="4" t="str">
        <f>"00639031"</f>
        <v>00639031</v>
      </c>
      <c r="C37" s="4" t="str">
        <f>"莊芳如"</f>
        <v>莊芳如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4"/>
    </row>
    <row r="38" spans="1:18" x14ac:dyDescent="0.4">
      <c r="A38" s="4" t="str">
        <f t="shared" si="0"/>
        <v>食品科學系食品科學組</v>
      </c>
      <c r="B38" s="4" t="str">
        <f>"00639032"</f>
        <v>00639032</v>
      </c>
      <c r="C38" s="4" t="str">
        <f>"林禹承"</f>
        <v>林禹承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"/>
    </row>
    <row r="39" spans="1:18" x14ac:dyDescent="0.4">
      <c r="A39" s="4" t="str">
        <f t="shared" si="0"/>
        <v>食品科學系食品科學組</v>
      </c>
      <c r="B39" s="4" t="str">
        <f>"00639033"</f>
        <v>00639033</v>
      </c>
      <c r="C39" s="4" t="str">
        <f>"陳昱瑾"</f>
        <v>陳昱瑾</v>
      </c>
      <c r="D39" s="6"/>
      <c r="E39" s="6"/>
      <c r="F39" s="6"/>
      <c r="G39" s="6"/>
      <c r="H39" s="6"/>
      <c r="I39" s="6" t="s">
        <v>25</v>
      </c>
      <c r="J39" s="6"/>
      <c r="K39" s="6" t="s">
        <v>25</v>
      </c>
      <c r="L39" s="6"/>
      <c r="M39" s="6"/>
      <c r="N39" s="6" t="s">
        <v>25</v>
      </c>
      <c r="O39" s="6"/>
      <c r="P39" s="6"/>
      <c r="Q39" s="6"/>
      <c r="R39" s="4">
        <v>3</v>
      </c>
    </row>
    <row r="40" spans="1:18" x14ac:dyDescent="0.4">
      <c r="A40" s="4" t="str">
        <f t="shared" si="0"/>
        <v>食品科學系食品科學組</v>
      </c>
      <c r="B40" s="4" t="str">
        <f>"00639034"</f>
        <v>00639034</v>
      </c>
      <c r="C40" s="4" t="str">
        <f>"姚帥煇"</f>
        <v>姚帥煇</v>
      </c>
      <c r="D40" s="6"/>
      <c r="E40" s="6"/>
      <c r="F40" s="6"/>
      <c r="G40" s="6"/>
      <c r="H40" s="6"/>
      <c r="I40" s="6"/>
      <c r="J40" s="6"/>
      <c r="K40" s="6"/>
      <c r="L40" s="6"/>
      <c r="M40" s="6" t="s">
        <v>25</v>
      </c>
      <c r="N40" s="6" t="s">
        <v>25</v>
      </c>
      <c r="O40" s="6"/>
      <c r="P40" s="6"/>
      <c r="Q40" s="6"/>
      <c r="R40" s="4">
        <v>2</v>
      </c>
    </row>
    <row r="41" spans="1:18" x14ac:dyDescent="0.4">
      <c r="A41" s="4" t="str">
        <f t="shared" si="0"/>
        <v>食品科學系食品科學組</v>
      </c>
      <c r="B41" s="4" t="str">
        <f>"00639035"</f>
        <v>00639035</v>
      </c>
      <c r="C41" s="4" t="str">
        <f>"高敏"</f>
        <v>高敏</v>
      </c>
      <c r="D41" s="6"/>
      <c r="E41" s="6"/>
      <c r="F41" s="6"/>
      <c r="G41" s="6"/>
      <c r="H41" s="6"/>
      <c r="I41" s="6" t="s">
        <v>25</v>
      </c>
      <c r="J41" s="6"/>
      <c r="K41" s="6" t="s">
        <v>25</v>
      </c>
      <c r="L41" s="6"/>
      <c r="M41" s="6"/>
      <c r="N41" s="6" t="s">
        <v>25</v>
      </c>
      <c r="O41" s="6"/>
      <c r="P41" s="6"/>
      <c r="Q41" s="6"/>
      <c r="R41" s="4">
        <v>3</v>
      </c>
    </row>
    <row r="42" spans="1:18" x14ac:dyDescent="0.4">
      <c r="A42" s="4" t="str">
        <f t="shared" si="0"/>
        <v>食品科學系食品科學組</v>
      </c>
      <c r="B42" s="4" t="str">
        <f>"00639036"</f>
        <v>00639036</v>
      </c>
      <c r="C42" s="4" t="str">
        <f>"潘禹卉"</f>
        <v>潘禹卉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4"/>
    </row>
    <row r="43" spans="1:18" x14ac:dyDescent="0.4">
      <c r="A43" s="4" t="str">
        <f t="shared" si="0"/>
        <v>食品科學系食品科學組</v>
      </c>
      <c r="B43" s="4" t="str">
        <f>"00639037"</f>
        <v>00639037</v>
      </c>
      <c r="C43" s="4" t="str">
        <f>"黃詩晴"</f>
        <v>黃詩晴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4"/>
    </row>
    <row r="44" spans="1:18" x14ac:dyDescent="0.4">
      <c r="A44" s="4" t="str">
        <f t="shared" si="0"/>
        <v>食品科學系食品科學組</v>
      </c>
      <c r="B44" s="4" t="str">
        <f>"00639038"</f>
        <v>00639038</v>
      </c>
      <c r="C44" s="4" t="str">
        <f>"郭政琳"</f>
        <v>郭政琳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 t="s">
        <v>25</v>
      </c>
      <c r="O44" s="6"/>
      <c r="P44" s="6"/>
      <c r="Q44" s="6"/>
      <c r="R44" s="4">
        <v>1</v>
      </c>
    </row>
    <row r="45" spans="1:18" x14ac:dyDescent="0.4">
      <c r="A45" s="4" t="str">
        <f t="shared" si="0"/>
        <v>食品科學系食品科學組</v>
      </c>
      <c r="B45" s="4" t="str">
        <f>"00639039"</f>
        <v>00639039</v>
      </c>
      <c r="C45" s="4" t="str">
        <f>"練陳燁"</f>
        <v>練陳燁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4"/>
    </row>
    <row r="46" spans="1:18" x14ac:dyDescent="0.4">
      <c r="A46" s="4" t="str">
        <f t="shared" si="0"/>
        <v>食品科學系食品科學組</v>
      </c>
      <c r="B46" s="4" t="str">
        <f>"00639040"</f>
        <v>00639040</v>
      </c>
      <c r="C46" s="4" t="str">
        <f>"涂羽華"</f>
        <v>涂羽華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"/>
    </row>
    <row r="47" spans="1:18" x14ac:dyDescent="0.4">
      <c r="A47" s="4" t="str">
        <f t="shared" si="0"/>
        <v>食品科學系食品科學組</v>
      </c>
      <c r="B47" s="4" t="str">
        <f>"00639041"</f>
        <v>00639041</v>
      </c>
      <c r="C47" s="4" t="str">
        <f>"王思穎"</f>
        <v>王思穎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 t="s">
        <v>25</v>
      </c>
      <c r="O47" s="6"/>
      <c r="P47" s="6"/>
      <c r="Q47" s="6"/>
      <c r="R47" s="4">
        <v>1</v>
      </c>
    </row>
    <row r="48" spans="1:18" x14ac:dyDescent="0.4">
      <c r="A48" s="4" t="s">
        <v>0</v>
      </c>
      <c r="B48" s="4" t="s">
        <v>1</v>
      </c>
      <c r="C48" s="4" t="s">
        <v>3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10</v>
      </c>
      <c r="K48" s="1" t="s">
        <v>18</v>
      </c>
      <c r="L48" s="2" t="s">
        <v>19</v>
      </c>
      <c r="M48" s="3" t="s">
        <v>20</v>
      </c>
      <c r="N48" s="3" t="s">
        <v>21</v>
      </c>
      <c r="O48" s="3" t="s">
        <v>22</v>
      </c>
      <c r="P48" s="3" t="s">
        <v>23</v>
      </c>
      <c r="Q48" s="3" t="s">
        <v>24</v>
      </c>
      <c r="R48" s="1" t="s">
        <v>11</v>
      </c>
    </row>
    <row r="49" spans="1:18" x14ac:dyDescent="0.4">
      <c r="A49" s="4" t="str">
        <f t="shared" si="0"/>
        <v>食品科學系食品科學組</v>
      </c>
      <c r="B49" s="4" t="str">
        <f>"00639042"</f>
        <v>00639042</v>
      </c>
      <c r="C49" s="4" t="str">
        <f>"張心汝"</f>
        <v>張心汝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4">
      <c r="A50" s="4" t="str">
        <f t="shared" si="0"/>
        <v>食品科學系食品科學組</v>
      </c>
      <c r="B50" s="4" t="str">
        <f>"00639043"</f>
        <v>00639043</v>
      </c>
      <c r="C50" s="4" t="str">
        <f>"陳思?"</f>
        <v>陳思?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4">
      <c r="A51" s="4" t="str">
        <f t="shared" si="0"/>
        <v>食品科學系食品科學組</v>
      </c>
      <c r="B51" s="4" t="str">
        <f>"00639044"</f>
        <v>00639044</v>
      </c>
      <c r="C51" s="4" t="str">
        <f>"陳文祥"</f>
        <v>陳文祥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4">
      <c r="A52" s="4" t="str">
        <f t="shared" si="0"/>
        <v>食品科學系食品科學組</v>
      </c>
      <c r="B52" s="4" t="str">
        <f>"00639045"</f>
        <v>00639045</v>
      </c>
      <c r="C52" s="4" t="str">
        <f>"鐘翊慈"</f>
        <v>鐘翊慈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4">
      <c r="A53" s="4" t="str">
        <f t="shared" si="0"/>
        <v>食品科學系食品科學組</v>
      </c>
      <c r="B53" s="4" t="str">
        <f>"00639046"</f>
        <v>00639046</v>
      </c>
      <c r="C53" s="4" t="str">
        <f>"陳楷雯"</f>
        <v>陳楷雯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4">
      <c r="A54" s="4" t="str">
        <f t="shared" si="0"/>
        <v>食品科學系食品科學組</v>
      </c>
      <c r="B54" s="4" t="str">
        <f>"00639047"</f>
        <v>00639047</v>
      </c>
      <c r="C54" s="4" t="str">
        <f>"金可揚"</f>
        <v>金可揚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4">
      <c r="A55" s="4" t="str">
        <f t="shared" si="0"/>
        <v>食品科學系食品科學組</v>
      </c>
      <c r="B55" s="4" t="str">
        <f>"00639048"</f>
        <v>00639048</v>
      </c>
      <c r="C55" s="4" t="str">
        <f>"郭文聖"</f>
        <v>郭文聖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4">
      <c r="A56" s="4" t="str">
        <f t="shared" si="0"/>
        <v>食品科學系食品科學組</v>
      </c>
      <c r="B56" s="4" t="str">
        <f>"00639049"</f>
        <v>00639049</v>
      </c>
      <c r="C56" s="4" t="str">
        <f>"楊佳績"</f>
        <v>楊佳績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4">
      <c r="A57" s="4" t="str">
        <f t="shared" si="0"/>
        <v>食品科學系食品科學組</v>
      </c>
      <c r="B57" s="4" t="str">
        <f>"00639050"</f>
        <v>00639050</v>
      </c>
      <c r="C57" s="4" t="str">
        <f>"包游強"</f>
        <v>包游強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4">
      <c r="A58" s="4" t="str">
        <f t="shared" si="0"/>
        <v>食品科學系食品科學組</v>
      </c>
      <c r="B58" s="4" t="str">
        <f>"00639051"</f>
        <v>00639051</v>
      </c>
      <c r="C58" s="4" t="str">
        <f>"張寶珠"</f>
        <v>張寶珠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4">
      <c r="A59" s="4" t="str">
        <f t="shared" si="0"/>
        <v>食品科學系食品科學組</v>
      </c>
      <c r="B59" s="4" t="str">
        <f>"00639052"</f>
        <v>00639052</v>
      </c>
      <c r="C59" s="4" t="str">
        <f>"張嘉佳"</f>
        <v>張嘉佳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4">
      <c r="A60" s="4" t="str">
        <f t="shared" si="0"/>
        <v>食品科學系食品科學組</v>
      </c>
      <c r="B60" s="4" t="str">
        <f>"00639053"</f>
        <v>00639053</v>
      </c>
      <c r="C60" s="4" t="str">
        <f>"林靖雯"</f>
        <v>林靖雯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4">
      <c r="A61" s="4" t="str">
        <f t="shared" si="0"/>
        <v>食品科學系食品科學組</v>
      </c>
      <c r="B61" s="4" t="str">
        <f>"00639054"</f>
        <v>00639054</v>
      </c>
      <c r="C61" s="4" t="str">
        <f>"梁桂榮"</f>
        <v>梁桂榮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4">
      <c r="A62" s="4" t="str">
        <f t="shared" si="0"/>
        <v>食品科學系食品科學組</v>
      </c>
      <c r="B62" s="4" t="str">
        <f>"00639055"</f>
        <v>00639055</v>
      </c>
      <c r="C62" s="4" t="str">
        <f>"李譓"</f>
        <v>李譓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4">
      <c r="A63" s="4" t="str">
        <f t="shared" si="0"/>
        <v>食品科學系食品科學組</v>
      </c>
      <c r="B63" s="4" t="str">
        <f>"00639056"</f>
        <v>00639056</v>
      </c>
      <c r="C63" s="4" t="str">
        <f>"陳彥樺"</f>
        <v>陳彥樺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4">
      <c r="A64" s="4" t="str">
        <f t="shared" si="0"/>
        <v>食品科學系食品科學組</v>
      </c>
      <c r="B64" s="4" t="str">
        <f>"00639057"</f>
        <v>00639057</v>
      </c>
      <c r="C64" s="4" t="str">
        <f>"蔣焯熹"</f>
        <v>蔣焯熹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4">
      <c r="A65" s="4" t="str">
        <f t="shared" si="0"/>
        <v>食品科學系食品科學組</v>
      </c>
      <c r="B65" s="4" t="str">
        <f>"00639058"</f>
        <v>00639058</v>
      </c>
      <c r="C65" s="4" t="str">
        <f>"黃詠茵"</f>
        <v>黃詠茵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4">
      <c r="A66" s="4" t="str">
        <f t="shared" si="0"/>
        <v>食品科學系食品科學組</v>
      </c>
      <c r="B66" s="4" t="str">
        <f>"00639059"</f>
        <v>00639059</v>
      </c>
      <c r="C66" s="4" t="str">
        <f>"張景程"</f>
        <v>張景程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4">
      <c r="A67" s="4" t="str">
        <f t="shared" ref="A67:A114" si="1">"食品科學系生物科技組"</f>
        <v>食品科學系生物科技組</v>
      </c>
      <c r="B67" s="4" t="str">
        <f>"0063A001"</f>
        <v>0063A001</v>
      </c>
      <c r="C67" s="4" t="str">
        <f>"徐梓容"</f>
        <v>徐梓容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4">
      <c r="A68" s="4" t="str">
        <f t="shared" si="1"/>
        <v>食品科學系生物科技組</v>
      </c>
      <c r="B68" s="4" t="str">
        <f>"0063A002"</f>
        <v>0063A002</v>
      </c>
      <c r="C68" s="4" t="str">
        <f>"陳政維"</f>
        <v>陳政維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4">
      <c r="A69" s="4" t="str">
        <f t="shared" si="1"/>
        <v>食品科學系生物科技組</v>
      </c>
      <c r="B69" s="4" t="str">
        <f>"0063A003"</f>
        <v>0063A003</v>
      </c>
      <c r="C69" s="4" t="str">
        <f>"黃嘉靜"</f>
        <v>黃嘉靜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4">
      <c r="A70" s="4" t="str">
        <f t="shared" si="1"/>
        <v>食品科學系生物科技組</v>
      </c>
      <c r="B70" s="4" t="str">
        <f>"0063A004"</f>
        <v>0063A004</v>
      </c>
      <c r="C70" s="4" t="str">
        <f>"蘇家禾"</f>
        <v>蘇家禾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4">
      <c r="A71" s="4" t="str">
        <f t="shared" si="1"/>
        <v>食品科學系生物科技組</v>
      </c>
      <c r="B71" s="4" t="str">
        <f>"0063A005"</f>
        <v>0063A005</v>
      </c>
      <c r="C71" s="4" t="str">
        <f>"曾珮筑"</f>
        <v>曾珮筑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4">
      <c r="A72" s="4" t="str">
        <f t="shared" si="1"/>
        <v>食品科學系生物科技組</v>
      </c>
      <c r="B72" s="4" t="str">
        <f>"0063A006"</f>
        <v>0063A006</v>
      </c>
      <c r="C72" s="4" t="str">
        <f>"郭晉嘉"</f>
        <v>郭晉嘉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4">
      <c r="A73" s="4" t="str">
        <f t="shared" si="1"/>
        <v>食品科學系生物科技組</v>
      </c>
      <c r="B73" s="4" t="str">
        <f>"0063A007"</f>
        <v>0063A007</v>
      </c>
      <c r="C73" s="4" t="str">
        <f>"連建愷"</f>
        <v>連建愷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4">
      <c r="A74" s="4" t="str">
        <f t="shared" si="1"/>
        <v>食品科學系生物科技組</v>
      </c>
      <c r="B74" s="4" t="str">
        <f>"0063A008"</f>
        <v>0063A008</v>
      </c>
      <c r="C74" s="4" t="str">
        <f>"李佩儒"</f>
        <v>李佩儒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4">
      <c r="A75" s="4" t="str">
        <f t="shared" si="1"/>
        <v>食品科學系生物科技組</v>
      </c>
      <c r="B75" s="4" t="str">
        <f>"0063A009"</f>
        <v>0063A009</v>
      </c>
      <c r="C75" s="4" t="str">
        <f>"李文馨"</f>
        <v>李文馨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4">
      <c r="A76" s="4" t="str">
        <f t="shared" si="1"/>
        <v>食品科學系生物科技組</v>
      </c>
      <c r="B76" s="4" t="str">
        <f>"0063A010"</f>
        <v>0063A010</v>
      </c>
      <c r="C76" s="4" t="str">
        <f>"黃宏毅"</f>
        <v>黃宏毅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4">
      <c r="A77" s="4" t="str">
        <f t="shared" si="1"/>
        <v>食品科學系生物科技組</v>
      </c>
      <c r="B77" s="4" t="str">
        <f>"0063A011"</f>
        <v>0063A011</v>
      </c>
      <c r="C77" s="4" t="str">
        <f>"陳冠嘉"</f>
        <v>陳冠嘉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4">
      <c r="A78" s="4" t="str">
        <f t="shared" si="1"/>
        <v>食品科學系生物科技組</v>
      </c>
      <c r="B78" s="4" t="str">
        <f>"0063A012"</f>
        <v>0063A012</v>
      </c>
      <c r="C78" s="4" t="str">
        <f>"鍾宜凝"</f>
        <v>鍾宜凝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4">
      <c r="A79" s="4" t="str">
        <f t="shared" si="1"/>
        <v>食品科學系生物科技組</v>
      </c>
      <c r="B79" s="4" t="str">
        <f>"0063A013"</f>
        <v>0063A013</v>
      </c>
      <c r="C79" s="4" t="str">
        <f>"曾子安"</f>
        <v>曾子安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4">
      <c r="A80" s="4" t="str">
        <f t="shared" si="1"/>
        <v>食品科學系生物科技組</v>
      </c>
      <c r="B80" s="4" t="str">
        <f>"0063A014"</f>
        <v>0063A014</v>
      </c>
      <c r="C80" s="4" t="str">
        <f>"蔡尚文"</f>
        <v>蔡尚文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4">
      <c r="A81" s="4" t="str">
        <f t="shared" si="1"/>
        <v>食品科學系生物科技組</v>
      </c>
      <c r="B81" s="4" t="str">
        <f>"0063A015"</f>
        <v>0063A015</v>
      </c>
      <c r="C81" s="4" t="str">
        <f>"楊侑丞"</f>
        <v>楊侑丞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4">
      <c r="A82" s="4" t="str">
        <f t="shared" si="1"/>
        <v>食品科學系生物科技組</v>
      </c>
      <c r="B82" s="4" t="str">
        <f>"0063A016"</f>
        <v>0063A016</v>
      </c>
      <c r="C82" s="4" t="str">
        <f>"林冠廷"</f>
        <v>林冠廷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4">
      <c r="A83" s="4" t="str">
        <f t="shared" si="1"/>
        <v>食品科學系生物科技組</v>
      </c>
      <c r="B83" s="4" t="str">
        <f>"0063A017"</f>
        <v>0063A017</v>
      </c>
      <c r="C83" s="4" t="str">
        <f>"廖盈善"</f>
        <v>廖盈善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4">
      <c r="A84" s="4" t="str">
        <f t="shared" si="1"/>
        <v>食品科學系生物科技組</v>
      </c>
      <c r="B84" s="4" t="str">
        <f>"0063A018"</f>
        <v>0063A018</v>
      </c>
      <c r="C84" s="4" t="str">
        <f>"黃靖雯"</f>
        <v>黃靖雯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4">
      <c r="A85" s="4" t="str">
        <f t="shared" si="1"/>
        <v>食品科學系生物科技組</v>
      </c>
      <c r="B85" s="4" t="str">
        <f>"0063A019"</f>
        <v>0063A019</v>
      </c>
      <c r="C85" s="4" t="str">
        <f>"雷潔"</f>
        <v>雷潔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4">
      <c r="A86" s="4" t="str">
        <f t="shared" si="1"/>
        <v>食品科學系生物科技組</v>
      </c>
      <c r="B86" s="4" t="str">
        <f>"0063A020"</f>
        <v>0063A020</v>
      </c>
      <c r="C86" s="4" t="str">
        <f>"許威揚"</f>
        <v>許威揚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4">
      <c r="A87" s="4" t="str">
        <f t="shared" si="1"/>
        <v>食品科學系生物科技組</v>
      </c>
      <c r="B87" s="4" t="str">
        <f>"0063A021"</f>
        <v>0063A021</v>
      </c>
      <c r="C87" s="4" t="str">
        <f>"張伸維"</f>
        <v>張伸維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4">
      <c r="A88" s="4" t="str">
        <f t="shared" si="1"/>
        <v>食品科學系生物科技組</v>
      </c>
      <c r="B88" s="4" t="str">
        <f>"0063A022"</f>
        <v>0063A022</v>
      </c>
      <c r="C88" s="4" t="str">
        <f>"蘇儀庭"</f>
        <v>蘇儀庭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4">
      <c r="A89" s="4" t="str">
        <f t="shared" si="1"/>
        <v>食品科學系生物科技組</v>
      </c>
      <c r="B89" s="4" t="str">
        <f>"0063A023"</f>
        <v>0063A023</v>
      </c>
      <c r="C89" s="4" t="str">
        <f>"蔡孟諺"</f>
        <v>蔡孟諺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4">
      <c r="A90" s="4" t="str">
        <f t="shared" si="1"/>
        <v>食品科學系生物科技組</v>
      </c>
      <c r="B90" s="4" t="str">
        <f>"0063A024"</f>
        <v>0063A024</v>
      </c>
      <c r="C90" s="4" t="str">
        <f>"吳思辰"</f>
        <v>吳思辰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4">
      <c r="A91" s="4" t="str">
        <f t="shared" si="1"/>
        <v>食品科學系生物科技組</v>
      </c>
      <c r="B91" s="4" t="str">
        <f>"0063A025"</f>
        <v>0063A025</v>
      </c>
      <c r="C91" s="4" t="str">
        <f>"戴鴻志"</f>
        <v>戴鴻志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4">
      <c r="A92" s="4" t="str">
        <f t="shared" si="1"/>
        <v>食品科學系生物科技組</v>
      </c>
      <c r="B92" s="4" t="str">
        <f>"0063A026"</f>
        <v>0063A026</v>
      </c>
      <c r="C92" s="4" t="str">
        <f>"陳許正"</f>
        <v>陳許正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4">
      <c r="A93" s="4" t="str">
        <f t="shared" si="1"/>
        <v>食品科學系生物科技組</v>
      </c>
      <c r="B93" s="4" t="str">
        <f>"0063A027"</f>
        <v>0063A027</v>
      </c>
      <c r="C93" s="4" t="str">
        <f>"賴正軒"</f>
        <v>賴正軒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4">
      <c r="A94" s="4" t="str">
        <f t="shared" si="1"/>
        <v>食品科學系生物科技組</v>
      </c>
      <c r="B94" s="4" t="str">
        <f>"0063A028"</f>
        <v>0063A028</v>
      </c>
      <c r="C94" s="4" t="str">
        <f>"樓邦成"</f>
        <v>樓邦成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4">
      <c r="A95" s="4" t="s">
        <v>0</v>
      </c>
      <c r="B95" s="4" t="s">
        <v>1</v>
      </c>
      <c r="C95" s="4" t="s">
        <v>3</v>
      </c>
      <c r="D95" s="1" t="s">
        <v>12</v>
      </c>
      <c r="E95" s="1" t="s">
        <v>13</v>
      </c>
      <c r="F95" s="1" t="s">
        <v>14</v>
      </c>
      <c r="G95" s="1" t="s">
        <v>15</v>
      </c>
      <c r="H95" s="1" t="s">
        <v>16</v>
      </c>
      <c r="I95" s="1" t="s">
        <v>17</v>
      </c>
      <c r="J95" s="1" t="s">
        <v>10</v>
      </c>
      <c r="K95" s="1" t="s">
        <v>18</v>
      </c>
      <c r="L95" s="2" t="s">
        <v>19</v>
      </c>
      <c r="M95" s="3" t="s">
        <v>20</v>
      </c>
      <c r="N95" s="3" t="s">
        <v>21</v>
      </c>
      <c r="O95" s="3" t="s">
        <v>22</v>
      </c>
      <c r="P95" s="3" t="s">
        <v>23</v>
      </c>
      <c r="Q95" s="3" t="s">
        <v>24</v>
      </c>
      <c r="R95" s="1" t="s">
        <v>11</v>
      </c>
    </row>
    <row r="96" spans="1:18" x14ac:dyDescent="0.4">
      <c r="A96" s="4" t="str">
        <f t="shared" si="1"/>
        <v>食品科學系生物科技組</v>
      </c>
      <c r="B96" s="4" t="str">
        <f>"0063A029"</f>
        <v>0063A029</v>
      </c>
      <c r="C96" s="4" t="str">
        <f>"許政揚"</f>
        <v>許政揚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4"/>
    </row>
    <row r="97" spans="1:18" x14ac:dyDescent="0.4">
      <c r="A97" s="4" t="str">
        <f t="shared" si="1"/>
        <v>食品科學系生物科技組</v>
      </c>
      <c r="B97" s="4" t="str">
        <f>"0063A030"</f>
        <v>0063A030</v>
      </c>
      <c r="C97" s="4" t="str">
        <f>"曾郁雅"</f>
        <v>曾郁雅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4"/>
    </row>
    <row r="98" spans="1:18" x14ac:dyDescent="0.4">
      <c r="A98" s="4" t="str">
        <f t="shared" si="1"/>
        <v>食品科學系生物科技組</v>
      </c>
      <c r="B98" s="4" t="str">
        <f>"0063A031"</f>
        <v>0063A031</v>
      </c>
      <c r="C98" s="4" t="str">
        <f>"焦尚鴻"</f>
        <v>焦尚鴻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4"/>
    </row>
    <row r="99" spans="1:18" x14ac:dyDescent="0.4">
      <c r="A99" s="4" t="str">
        <f t="shared" si="1"/>
        <v>食品科學系生物科技組</v>
      </c>
      <c r="B99" s="4" t="str">
        <f>"0063A032"</f>
        <v>0063A032</v>
      </c>
      <c r="C99" s="4" t="str">
        <f>"楊淯淳"</f>
        <v>楊淯淳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4"/>
    </row>
    <row r="100" spans="1:18" x14ac:dyDescent="0.4">
      <c r="A100" s="4" t="str">
        <f t="shared" si="1"/>
        <v>食品科學系生物科技組</v>
      </c>
      <c r="B100" s="4" t="str">
        <f>"0063A033"</f>
        <v>0063A033</v>
      </c>
      <c r="C100" s="4" t="str">
        <f>"林瑞智"</f>
        <v>林瑞智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4"/>
    </row>
    <row r="101" spans="1:18" x14ac:dyDescent="0.4">
      <c r="A101" s="4" t="str">
        <f t="shared" si="1"/>
        <v>食品科學系生物科技組</v>
      </c>
      <c r="B101" s="4" t="str">
        <f>"0063A034"</f>
        <v>0063A034</v>
      </c>
      <c r="C101" s="4" t="str">
        <f>"彭士芸"</f>
        <v>彭士芸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4"/>
    </row>
    <row r="102" spans="1:18" x14ac:dyDescent="0.4">
      <c r="A102" s="4" t="str">
        <f t="shared" si="1"/>
        <v>食品科學系生物科技組</v>
      </c>
      <c r="B102" s="4" t="str">
        <f>"0063A035"</f>
        <v>0063A035</v>
      </c>
      <c r="C102" s="4" t="str">
        <f>"蔡佳沂"</f>
        <v>蔡佳沂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4"/>
    </row>
    <row r="103" spans="1:18" x14ac:dyDescent="0.4">
      <c r="A103" s="4" t="str">
        <f t="shared" si="1"/>
        <v>食品科學系生物科技組</v>
      </c>
      <c r="B103" s="4" t="str">
        <f>"0063A036"</f>
        <v>0063A036</v>
      </c>
      <c r="C103" s="4" t="str">
        <f>"李定芩"</f>
        <v>李定芩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4"/>
    </row>
    <row r="104" spans="1:18" x14ac:dyDescent="0.4">
      <c r="A104" s="4" t="str">
        <f t="shared" si="1"/>
        <v>食品科學系生物科技組</v>
      </c>
      <c r="B104" s="4" t="str">
        <f>"0063A037"</f>
        <v>0063A037</v>
      </c>
      <c r="C104" s="4" t="str">
        <f>"劉盈欣"</f>
        <v>劉盈欣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4"/>
    </row>
    <row r="105" spans="1:18" x14ac:dyDescent="0.4">
      <c r="A105" s="4" t="str">
        <f t="shared" si="1"/>
        <v>食品科學系生物科技組</v>
      </c>
      <c r="B105" s="4" t="str">
        <f>"0063A038"</f>
        <v>0063A038</v>
      </c>
      <c r="C105" s="4" t="str">
        <f>"簡菀萱"</f>
        <v>簡菀萱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4"/>
    </row>
    <row r="106" spans="1:18" x14ac:dyDescent="0.4">
      <c r="A106" s="4" t="str">
        <f t="shared" si="1"/>
        <v>食品科學系生物科技組</v>
      </c>
      <c r="B106" s="4" t="str">
        <f>"0063A039"</f>
        <v>0063A039</v>
      </c>
      <c r="C106" s="4" t="str">
        <f>"林歆珮"</f>
        <v>林歆珮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4"/>
    </row>
    <row r="107" spans="1:18" x14ac:dyDescent="0.4">
      <c r="A107" s="4" t="str">
        <f t="shared" si="1"/>
        <v>食品科學系生物科技組</v>
      </c>
      <c r="B107" s="4" t="str">
        <f>"0063A040"</f>
        <v>0063A040</v>
      </c>
      <c r="C107" s="4" t="str">
        <f>"廖崧有"</f>
        <v>廖崧有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4"/>
    </row>
    <row r="108" spans="1:18" x14ac:dyDescent="0.4">
      <c r="A108" s="4" t="str">
        <f t="shared" si="1"/>
        <v>食品科學系生物科技組</v>
      </c>
      <c r="B108" s="4" t="str">
        <f>"0063A041"</f>
        <v>0063A041</v>
      </c>
      <c r="C108" s="4" t="str">
        <f>"黃羽豪"</f>
        <v>黃羽豪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4"/>
    </row>
    <row r="109" spans="1:18" x14ac:dyDescent="0.4">
      <c r="A109" s="4" t="str">
        <f t="shared" si="1"/>
        <v>食品科學系生物科技組</v>
      </c>
      <c r="B109" s="4" t="str">
        <f>"0063A042"</f>
        <v>0063A042</v>
      </c>
      <c r="C109" s="4" t="str">
        <f>"葉于瑄"</f>
        <v>葉于瑄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4"/>
    </row>
    <row r="110" spans="1:18" x14ac:dyDescent="0.4">
      <c r="A110" s="4" t="str">
        <f t="shared" si="1"/>
        <v>食品科學系生物科技組</v>
      </c>
      <c r="B110" s="4" t="str">
        <f>"0063A043"</f>
        <v>0063A043</v>
      </c>
      <c r="C110" s="4" t="str">
        <f>"黃柏豪"</f>
        <v>黃柏豪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4"/>
    </row>
    <row r="111" spans="1:18" x14ac:dyDescent="0.4">
      <c r="A111" s="4" t="str">
        <f t="shared" si="1"/>
        <v>食品科學系生物科技組</v>
      </c>
      <c r="B111" s="4" t="str">
        <f>"0063A044"</f>
        <v>0063A044</v>
      </c>
      <c r="C111" s="4" t="str">
        <f>"王品毅"</f>
        <v>王品毅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4"/>
    </row>
    <row r="112" spans="1:18" x14ac:dyDescent="0.4">
      <c r="A112" s="4" t="str">
        <f t="shared" si="1"/>
        <v>食品科學系生物科技組</v>
      </c>
      <c r="B112" s="4" t="str">
        <f>"0063A045"</f>
        <v>0063A045</v>
      </c>
      <c r="C112" s="4" t="str">
        <f>"李美憓"</f>
        <v>李美憓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4"/>
    </row>
    <row r="113" spans="1:18" x14ac:dyDescent="0.4">
      <c r="A113" s="4" t="str">
        <f t="shared" si="1"/>
        <v>食品科學系生物科技組</v>
      </c>
      <c r="B113" s="4" t="str">
        <f>"0063A046"</f>
        <v>0063A046</v>
      </c>
      <c r="C113" s="4" t="str">
        <f>"溫素璇"</f>
        <v>溫素璇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4"/>
    </row>
    <row r="114" spans="1:18" x14ac:dyDescent="0.4">
      <c r="A114" s="4" t="str">
        <f t="shared" si="1"/>
        <v>食品科學系生物科技組</v>
      </c>
      <c r="B114" s="4" t="str">
        <f>"0063A047"</f>
        <v>0063A047</v>
      </c>
      <c r="C114" s="4" t="str">
        <f>"劉知樂"</f>
        <v>劉知樂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4"/>
    </row>
    <row r="115" spans="1:18" x14ac:dyDescent="0.4">
      <c r="A115" s="4" t="s">
        <v>28</v>
      </c>
      <c r="B115" s="4" t="str">
        <f>"0043A051"</f>
        <v>0043A051</v>
      </c>
      <c r="C115" s="4" t="s">
        <v>29</v>
      </c>
      <c r="D115" s="6"/>
      <c r="E115" s="6"/>
      <c r="F115" s="6"/>
      <c r="G115" s="6"/>
      <c r="H115" s="6"/>
      <c r="I115" s="6"/>
      <c r="J115" s="6"/>
      <c r="K115" s="6" t="s">
        <v>25</v>
      </c>
      <c r="L115" s="6"/>
      <c r="M115" s="6"/>
      <c r="N115" s="6"/>
      <c r="O115" s="6" t="s">
        <v>25</v>
      </c>
      <c r="P115" s="6"/>
      <c r="Q115" s="6"/>
      <c r="R115" s="4">
        <v>2</v>
      </c>
    </row>
    <row r="116" spans="1:18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x14ac:dyDescent="0.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x14ac:dyDescent="0.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x14ac:dyDescent="0.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x14ac:dyDescent="0.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x14ac:dyDescent="0.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&amp;C1061化學補強教學出席率登記本</oddHeader>
    <oddFooter>&amp;A&amp;R第 &amp;P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"/>
  <sheetViews>
    <sheetView view="pageLayout" topLeftCell="A112" workbookViewId="0">
      <selection activeCell="A106" sqref="A106:R106"/>
    </sheetView>
  </sheetViews>
  <sheetFormatPr defaultColWidth="8.7265625" defaultRowHeight="17" x14ac:dyDescent="0.4"/>
  <cols>
    <col min="1" max="1" width="6.08984375" customWidth="1"/>
    <col min="3" max="3" width="8" customWidth="1"/>
    <col min="4" max="18" width="4.6328125" customWidth="1"/>
  </cols>
  <sheetData>
    <row r="1" spans="1:18" x14ac:dyDescent="0.4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1" t="s">
        <v>11</v>
      </c>
    </row>
    <row r="3" spans="1:18" x14ac:dyDescent="0.4">
      <c r="A3" s="4" t="str">
        <f t="shared" ref="A3:A50" si="0">"輪機工程學系能源應用組"</f>
        <v>輪機工程學系能源應用組</v>
      </c>
      <c r="B3" s="4" t="str">
        <f>"0066A001"</f>
        <v>0066A001</v>
      </c>
      <c r="C3" s="4" t="str">
        <f>"徐翊傑"</f>
        <v>徐翊傑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"/>
    </row>
    <row r="4" spans="1:18" x14ac:dyDescent="0.4">
      <c r="A4" s="4" t="str">
        <f t="shared" si="0"/>
        <v>輪機工程學系能源應用組</v>
      </c>
      <c r="B4" s="4" t="str">
        <f>"0066A002"</f>
        <v>0066A002</v>
      </c>
      <c r="C4" s="4" t="str">
        <f>"潘政豪"</f>
        <v>潘政豪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"/>
    </row>
    <row r="5" spans="1:18" x14ac:dyDescent="0.4">
      <c r="A5" s="4" t="str">
        <f t="shared" si="0"/>
        <v>輪機工程學系能源應用組</v>
      </c>
      <c r="B5" s="4" t="str">
        <f>"0066A003"</f>
        <v>0066A003</v>
      </c>
      <c r="C5" s="4" t="str">
        <f>"張筌翔"</f>
        <v>張筌翔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/>
    </row>
    <row r="6" spans="1:18" x14ac:dyDescent="0.4">
      <c r="A6" s="4" t="str">
        <f t="shared" si="0"/>
        <v>輪機工程學系能源應用組</v>
      </c>
      <c r="B6" s="4" t="str">
        <f>"0066A004"</f>
        <v>0066A004</v>
      </c>
      <c r="C6" s="4" t="str">
        <f>"郭孟鑫"</f>
        <v>郭孟鑫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"/>
    </row>
    <row r="7" spans="1:18" x14ac:dyDescent="0.4">
      <c r="A7" s="4" t="str">
        <f t="shared" si="0"/>
        <v>輪機工程學系能源應用組</v>
      </c>
      <c r="B7" s="4" t="str">
        <f>"0066A005"</f>
        <v>0066A005</v>
      </c>
      <c r="C7" s="4" t="str">
        <f>"楊尚瑾"</f>
        <v>楊尚瑾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"/>
    </row>
    <row r="8" spans="1:18" x14ac:dyDescent="0.4">
      <c r="A8" s="4" t="str">
        <f t="shared" si="0"/>
        <v>輪機工程學系能源應用組</v>
      </c>
      <c r="B8" s="4" t="str">
        <f>"0066A006"</f>
        <v>0066A006</v>
      </c>
      <c r="C8" s="4" t="str">
        <f>"王瑞甫"</f>
        <v>王瑞甫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/>
    </row>
    <row r="9" spans="1:18" x14ac:dyDescent="0.4">
      <c r="A9" s="4" t="str">
        <f t="shared" si="0"/>
        <v>輪機工程學系能源應用組</v>
      </c>
      <c r="B9" s="4" t="str">
        <f>"0066A007"</f>
        <v>0066A007</v>
      </c>
      <c r="C9" s="4" t="str">
        <f>"黃葳荏"</f>
        <v>黃葳荏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4"/>
    </row>
    <row r="10" spans="1:18" x14ac:dyDescent="0.4">
      <c r="A10" s="4" t="str">
        <f t="shared" si="0"/>
        <v>輪機工程學系能源應用組</v>
      </c>
      <c r="B10" s="4" t="str">
        <f>"0066A008"</f>
        <v>0066A008</v>
      </c>
      <c r="C10" s="4" t="str">
        <f>"張弘儒"</f>
        <v>張弘儒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4"/>
    </row>
    <row r="11" spans="1:18" x14ac:dyDescent="0.4">
      <c r="A11" s="4" t="str">
        <f t="shared" si="0"/>
        <v>輪機工程學系能源應用組</v>
      </c>
      <c r="B11" s="4" t="str">
        <f>"0066A009"</f>
        <v>0066A009</v>
      </c>
      <c r="C11" s="4" t="str">
        <f>"吳子丞"</f>
        <v>吳子丞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4"/>
    </row>
    <row r="12" spans="1:18" x14ac:dyDescent="0.4">
      <c r="A12" s="4" t="str">
        <f t="shared" si="0"/>
        <v>輪機工程學系能源應用組</v>
      </c>
      <c r="B12" s="4" t="str">
        <f>"0066A010"</f>
        <v>0066A010</v>
      </c>
      <c r="C12" s="4" t="str">
        <f>"陳竣煒"</f>
        <v>陳竣煒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</row>
    <row r="13" spans="1:18" x14ac:dyDescent="0.4">
      <c r="A13" s="4" t="str">
        <f t="shared" si="0"/>
        <v>輪機工程學系能源應用組</v>
      </c>
      <c r="B13" s="4" t="str">
        <f>"0066A011"</f>
        <v>0066A011</v>
      </c>
      <c r="C13" s="4" t="str">
        <f>"穆則鳴"</f>
        <v>穆則鳴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"/>
    </row>
    <row r="14" spans="1:18" x14ac:dyDescent="0.4">
      <c r="A14" s="4" t="str">
        <f t="shared" si="0"/>
        <v>輪機工程學系能源應用組</v>
      </c>
      <c r="B14" s="4" t="str">
        <f>"0066A012"</f>
        <v>0066A012</v>
      </c>
      <c r="C14" s="4" t="str">
        <f>"蕭秉和"</f>
        <v>蕭秉和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</row>
    <row r="15" spans="1:18" x14ac:dyDescent="0.4">
      <c r="A15" s="4" t="str">
        <f t="shared" si="0"/>
        <v>輪機工程學系能源應用組</v>
      </c>
      <c r="B15" s="4" t="str">
        <f>"0066A013"</f>
        <v>0066A013</v>
      </c>
      <c r="C15" s="4" t="str">
        <f>"周昱廷"</f>
        <v>周昱廷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</row>
    <row r="16" spans="1:18" x14ac:dyDescent="0.4">
      <c r="A16" s="4" t="str">
        <f t="shared" si="0"/>
        <v>輪機工程學系能源應用組</v>
      </c>
      <c r="B16" s="4" t="str">
        <f>"0066A014"</f>
        <v>0066A014</v>
      </c>
      <c r="C16" s="4" t="str">
        <f>"許文俊"</f>
        <v>許文俊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4"/>
    </row>
    <row r="17" spans="1:18" x14ac:dyDescent="0.4">
      <c r="A17" s="4" t="str">
        <f t="shared" si="0"/>
        <v>輪機工程學系能源應用組</v>
      </c>
      <c r="B17" s="4" t="str">
        <f>"0066A015"</f>
        <v>0066A015</v>
      </c>
      <c r="C17" s="4" t="str">
        <f>"葉力揚"</f>
        <v>葉力揚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4"/>
    </row>
    <row r="18" spans="1:18" x14ac:dyDescent="0.4">
      <c r="A18" s="4" t="str">
        <f t="shared" si="0"/>
        <v>輪機工程學系能源應用組</v>
      </c>
      <c r="B18" s="4" t="str">
        <f>"0066A016"</f>
        <v>0066A016</v>
      </c>
      <c r="C18" s="4" t="str">
        <f>"楊東晏"</f>
        <v>楊東晏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</row>
    <row r="19" spans="1:18" x14ac:dyDescent="0.4">
      <c r="A19" s="4" t="str">
        <f t="shared" si="0"/>
        <v>輪機工程學系能源應用組</v>
      </c>
      <c r="B19" s="4" t="str">
        <f>"0066A017"</f>
        <v>0066A017</v>
      </c>
      <c r="C19" s="4" t="str">
        <f>"何沛芸"</f>
        <v>何沛芸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"/>
    </row>
    <row r="20" spans="1:18" x14ac:dyDescent="0.4">
      <c r="A20" s="4" t="str">
        <f t="shared" si="0"/>
        <v>輪機工程學系能源應用組</v>
      </c>
      <c r="B20" s="4" t="str">
        <f>"0066A018"</f>
        <v>0066A018</v>
      </c>
      <c r="C20" s="4" t="str">
        <f>"莊順堯"</f>
        <v>莊順堯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4"/>
    </row>
    <row r="21" spans="1:18" x14ac:dyDescent="0.4">
      <c r="A21" s="4" t="str">
        <f t="shared" si="0"/>
        <v>輪機工程學系能源應用組</v>
      </c>
      <c r="B21" s="4" t="str">
        <f>"0066A019"</f>
        <v>0066A019</v>
      </c>
      <c r="C21" s="4" t="str">
        <f>"郭家睿"</f>
        <v>郭家睿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4"/>
    </row>
    <row r="22" spans="1:18" x14ac:dyDescent="0.4">
      <c r="A22" s="4" t="str">
        <f t="shared" si="0"/>
        <v>輪機工程學系能源應用組</v>
      </c>
      <c r="B22" s="4" t="str">
        <f>"0066A020"</f>
        <v>0066A020</v>
      </c>
      <c r="C22" s="4" t="str">
        <f>"蔡昕听"</f>
        <v>蔡昕听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4"/>
    </row>
    <row r="23" spans="1:18" x14ac:dyDescent="0.4">
      <c r="A23" s="4" t="str">
        <f t="shared" si="0"/>
        <v>輪機工程學系能源應用組</v>
      </c>
      <c r="B23" s="4" t="str">
        <f>"0066A021"</f>
        <v>0066A021</v>
      </c>
      <c r="C23" s="4" t="str">
        <f>"侯光哲"</f>
        <v>侯光哲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4"/>
    </row>
    <row r="24" spans="1:18" x14ac:dyDescent="0.4">
      <c r="A24" s="4" t="str">
        <f t="shared" si="0"/>
        <v>輪機工程學系能源應用組</v>
      </c>
      <c r="B24" s="4" t="str">
        <f>"0066A022"</f>
        <v>0066A022</v>
      </c>
      <c r="C24" s="4" t="str">
        <f>"陳霂恩"</f>
        <v>陳霂恩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4"/>
    </row>
    <row r="25" spans="1:18" x14ac:dyDescent="0.4">
      <c r="A25" s="4" t="str">
        <f t="shared" si="0"/>
        <v>輪機工程學系能源應用組</v>
      </c>
      <c r="B25" s="4" t="str">
        <f>"0066A023"</f>
        <v>0066A023</v>
      </c>
      <c r="C25" s="4" t="str">
        <f>"溫宥茹"</f>
        <v>溫宥茹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4"/>
    </row>
    <row r="26" spans="1:18" x14ac:dyDescent="0.4">
      <c r="A26" s="4" t="str">
        <f t="shared" si="0"/>
        <v>輪機工程學系能源應用組</v>
      </c>
      <c r="B26" s="4" t="str">
        <f>"0066A024"</f>
        <v>0066A024</v>
      </c>
      <c r="C26" s="4" t="str">
        <f>"劉信賢"</f>
        <v>劉信賢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4"/>
    </row>
    <row r="27" spans="1:18" x14ac:dyDescent="0.4">
      <c r="A27" s="4" t="str">
        <f t="shared" si="0"/>
        <v>輪機工程學系能源應用組</v>
      </c>
      <c r="B27" s="4" t="str">
        <f>"0066A025"</f>
        <v>0066A025</v>
      </c>
      <c r="C27" s="4" t="str">
        <f>"陳微塵"</f>
        <v>陳微塵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4"/>
    </row>
    <row r="28" spans="1:18" x14ac:dyDescent="0.4">
      <c r="A28" s="4" t="str">
        <f t="shared" si="0"/>
        <v>輪機工程學系能源應用組</v>
      </c>
      <c r="B28" s="4" t="str">
        <f>"0066A026"</f>
        <v>0066A026</v>
      </c>
      <c r="C28" s="4" t="str">
        <f>"張君瑋"</f>
        <v>張君瑋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4"/>
    </row>
    <row r="29" spans="1:18" x14ac:dyDescent="0.4">
      <c r="A29" s="4" t="str">
        <f t="shared" si="0"/>
        <v>輪機工程學系能源應用組</v>
      </c>
      <c r="B29" s="4" t="str">
        <f>"0066A027"</f>
        <v>0066A027</v>
      </c>
      <c r="C29" s="4" t="str">
        <f>"黃謇之"</f>
        <v>黃謇之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4"/>
    </row>
    <row r="30" spans="1:18" x14ac:dyDescent="0.4">
      <c r="A30" s="4" t="str">
        <f t="shared" si="0"/>
        <v>輪機工程學系能源應用組</v>
      </c>
      <c r="B30" s="4" t="str">
        <f>"0066A028"</f>
        <v>0066A028</v>
      </c>
      <c r="C30" s="4" t="str">
        <f>"許嘉哲"</f>
        <v>許嘉哲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4"/>
    </row>
    <row r="31" spans="1:18" x14ac:dyDescent="0.4">
      <c r="A31" s="4" t="str">
        <f t="shared" si="0"/>
        <v>輪機工程學系能源應用組</v>
      </c>
      <c r="B31" s="4" t="str">
        <f>"0066A029"</f>
        <v>0066A029</v>
      </c>
      <c r="C31" s="4" t="str">
        <f>"林成駿"</f>
        <v>林成駿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4"/>
    </row>
    <row r="32" spans="1:18" x14ac:dyDescent="0.4">
      <c r="A32" s="4" t="str">
        <f t="shared" si="0"/>
        <v>輪機工程學系能源應用組</v>
      </c>
      <c r="B32" s="4" t="str">
        <f>"0066A030"</f>
        <v>0066A030</v>
      </c>
      <c r="C32" s="4" t="str">
        <f>"黃政文"</f>
        <v>黃政文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4"/>
    </row>
    <row r="33" spans="1:18" x14ac:dyDescent="0.4">
      <c r="A33" s="4" t="str">
        <f t="shared" si="0"/>
        <v>輪機工程學系能源應用組</v>
      </c>
      <c r="B33" s="4" t="str">
        <f>"0066A031"</f>
        <v>0066A031</v>
      </c>
      <c r="C33" s="4" t="str">
        <f>"劉學定"</f>
        <v>劉學定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4"/>
    </row>
    <row r="34" spans="1:18" x14ac:dyDescent="0.4">
      <c r="A34" s="4" t="str">
        <f t="shared" si="0"/>
        <v>輪機工程學系能源應用組</v>
      </c>
      <c r="B34" s="4" t="str">
        <f>"0066A032"</f>
        <v>0066A032</v>
      </c>
      <c r="C34" s="4" t="str">
        <f>"洪挹中"</f>
        <v>洪挹中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4"/>
    </row>
    <row r="35" spans="1:18" x14ac:dyDescent="0.4">
      <c r="A35" s="4" t="str">
        <f t="shared" si="0"/>
        <v>輪機工程學系能源應用組</v>
      </c>
      <c r="B35" s="4" t="str">
        <f>"0066A033"</f>
        <v>0066A033</v>
      </c>
      <c r="C35" s="4" t="str">
        <f>"徐睿陽"</f>
        <v>徐睿陽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4"/>
    </row>
    <row r="36" spans="1:18" x14ac:dyDescent="0.4">
      <c r="A36" s="4" t="str">
        <f t="shared" si="0"/>
        <v>輪機工程學系能源應用組</v>
      </c>
      <c r="B36" s="4" t="str">
        <f>"0066A034"</f>
        <v>0066A034</v>
      </c>
      <c r="C36" s="4" t="str">
        <f>"康智嘉"</f>
        <v>康智嘉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4"/>
    </row>
    <row r="37" spans="1:18" x14ac:dyDescent="0.4">
      <c r="A37" s="4" t="str">
        <f t="shared" si="0"/>
        <v>輪機工程學系能源應用組</v>
      </c>
      <c r="B37" s="4" t="str">
        <f>"0066A035"</f>
        <v>0066A035</v>
      </c>
      <c r="C37" s="4" t="str">
        <f>"沈昱宏"</f>
        <v>沈昱宏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4"/>
    </row>
    <row r="38" spans="1:18" x14ac:dyDescent="0.4">
      <c r="A38" s="4" t="str">
        <f t="shared" si="0"/>
        <v>輪機工程學系能源應用組</v>
      </c>
      <c r="B38" s="4" t="str">
        <f>"0066A036"</f>
        <v>0066A036</v>
      </c>
      <c r="C38" s="4" t="str">
        <f>"卓柄丞"</f>
        <v>卓柄丞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"/>
    </row>
    <row r="39" spans="1:18" x14ac:dyDescent="0.4">
      <c r="A39" s="4" t="str">
        <f t="shared" si="0"/>
        <v>輪機工程學系能源應用組</v>
      </c>
      <c r="B39" s="4" t="str">
        <f>"0066A037"</f>
        <v>0066A037</v>
      </c>
      <c r="C39" s="4" t="str">
        <f>"黃于?"</f>
        <v>黃于?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"/>
    </row>
    <row r="40" spans="1:18" x14ac:dyDescent="0.4">
      <c r="A40" s="4" t="str">
        <f t="shared" si="0"/>
        <v>輪機工程學系能源應用組</v>
      </c>
      <c r="B40" s="4" t="str">
        <f>"0066A038"</f>
        <v>0066A038</v>
      </c>
      <c r="C40" s="4" t="str">
        <f>"杜珮瑄"</f>
        <v>杜珮瑄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4"/>
    </row>
    <row r="41" spans="1:18" x14ac:dyDescent="0.4">
      <c r="A41" s="4" t="str">
        <f t="shared" si="0"/>
        <v>輪機工程學系能源應用組</v>
      </c>
      <c r="B41" s="4" t="str">
        <f>"0066A039"</f>
        <v>0066A039</v>
      </c>
      <c r="C41" s="4" t="str">
        <f>"李耀英"</f>
        <v>李耀英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4"/>
    </row>
    <row r="42" spans="1:18" x14ac:dyDescent="0.4">
      <c r="A42" s="4" t="str">
        <f t="shared" si="0"/>
        <v>輪機工程學系能源應用組</v>
      </c>
      <c r="B42" s="4" t="str">
        <f>"0066A040"</f>
        <v>0066A040</v>
      </c>
      <c r="C42" s="4" t="str">
        <f>"葛彥威"</f>
        <v>葛彥威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4"/>
    </row>
    <row r="43" spans="1:18" x14ac:dyDescent="0.4">
      <c r="A43" s="4" t="str">
        <f t="shared" si="0"/>
        <v>輪機工程學系能源應用組</v>
      </c>
      <c r="B43" s="4" t="str">
        <f>"0066A041"</f>
        <v>0066A041</v>
      </c>
      <c r="C43" s="4" t="str">
        <f>"蔡昀璋"</f>
        <v>蔡昀璋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4"/>
    </row>
    <row r="44" spans="1:18" x14ac:dyDescent="0.4">
      <c r="A44" s="4" t="str">
        <f t="shared" si="0"/>
        <v>輪機工程學系能源應用組</v>
      </c>
      <c r="B44" s="4" t="str">
        <f>"0066A042"</f>
        <v>0066A042</v>
      </c>
      <c r="C44" s="4" t="str">
        <f>"謝宜潔"</f>
        <v>謝宜潔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4"/>
    </row>
    <row r="45" spans="1:18" x14ac:dyDescent="0.4">
      <c r="A45" s="4" t="str">
        <f t="shared" si="0"/>
        <v>輪機工程學系能源應用組</v>
      </c>
      <c r="B45" s="4" t="str">
        <f>"0066A043"</f>
        <v>0066A043</v>
      </c>
      <c r="C45" s="4" t="str">
        <f>"林睿駿"</f>
        <v>林睿駿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4"/>
    </row>
    <row r="46" spans="1:18" x14ac:dyDescent="0.4">
      <c r="A46" s="4" t="str">
        <f t="shared" si="0"/>
        <v>輪機工程學系能源應用組</v>
      </c>
      <c r="B46" s="4" t="str">
        <f>"0066A044"</f>
        <v>0066A044</v>
      </c>
      <c r="C46" s="4" t="str">
        <f>"蘇柏翰"</f>
        <v>蘇柏翰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"/>
    </row>
    <row r="47" spans="1:18" x14ac:dyDescent="0.4">
      <c r="A47" s="4" t="str">
        <f t="shared" si="0"/>
        <v>輪機工程學系能源應用組</v>
      </c>
      <c r="B47" s="4" t="str">
        <f>"0066A045"</f>
        <v>0066A045</v>
      </c>
      <c r="C47" s="4" t="str">
        <f>"以諾．饒"</f>
        <v>以諾．饒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"/>
    </row>
    <row r="48" spans="1:18" x14ac:dyDescent="0.4">
      <c r="A48" s="4" t="s">
        <v>0</v>
      </c>
      <c r="B48" s="4" t="s">
        <v>1</v>
      </c>
      <c r="C48" s="4" t="s">
        <v>3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10</v>
      </c>
      <c r="K48" s="1" t="s">
        <v>18</v>
      </c>
      <c r="L48" s="2" t="s">
        <v>19</v>
      </c>
      <c r="M48" s="3" t="s">
        <v>20</v>
      </c>
      <c r="N48" s="3" t="s">
        <v>21</v>
      </c>
      <c r="O48" s="3" t="s">
        <v>22</v>
      </c>
      <c r="P48" s="3" t="s">
        <v>23</v>
      </c>
      <c r="Q48" s="3" t="s">
        <v>24</v>
      </c>
      <c r="R48" s="1" t="s">
        <v>11</v>
      </c>
    </row>
    <row r="49" spans="1:18" x14ac:dyDescent="0.4">
      <c r="A49" s="4" t="str">
        <f t="shared" si="0"/>
        <v>輪機工程學系能源應用組</v>
      </c>
      <c r="B49" s="4" t="str">
        <f>"0066A046"</f>
        <v>0066A046</v>
      </c>
      <c r="C49" s="4" t="str">
        <f>"陳俊言"</f>
        <v>陳俊言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4"/>
    </row>
    <row r="50" spans="1:18" x14ac:dyDescent="0.4">
      <c r="A50" s="4" t="str">
        <f t="shared" si="0"/>
        <v>輪機工程學系能源應用組</v>
      </c>
      <c r="B50" s="4" t="str">
        <f>"0066A047"</f>
        <v>0066A047</v>
      </c>
      <c r="C50" s="4" t="str">
        <f>"邱娜莉"</f>
        <v>邱娜莉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4"/>
    </row>
    <row r="51" spans="1:18" x14ac:dyDescent="0.4">
      <c r="A51" s="4" t="str">
        <f t="shared" ref="A51:A105" si="1">"輪機工程學系動力工程組"</f>
        <v>輪機工程學系動力工程組</v>
      </c>
      <c r="B51" s="4" t="str">
        <f>"0066D001"</f>
        <v>0066D001</v>
      </c>
      <c r="C51" s="4" t="str">
        <f>"朱延軍"</f>
        <v>朱延軍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4"/>
    </row>
    <row r="52" spans="1:18" x14ac:dyDescent="0.4">
      <c r="A52" s="4" t="str">
        <f t="shared" si="1"/>
        <v>輪機工程學系動力工程組</v>
      </c>
      <c r="B52" s="4" t="str">
        <f>"0066D002"</f>
        <v>0066D002</v>
      </c>
      <c r="C52" s="4" t="str">
        <f>"王怡蘋"</f>
        <v>王怡蘋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4"/>
    </row>
    <row r="53" spans="1:18" x14ac:dyDescent="0.4">
      <c r="A53" s="4" t="str">
        <f t="shared" si="1"/>
        <v>輪機工程學系動力工程組</v>
      </c>
      <c r="B53" s="4" t="str">
        <f>"0066D003"</f>
        <v>0066D003</v>
      </c>
      <c r="C53" s="4" t="str">
        <f>"陳英"</f>
        <v>陳英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4"/>
    </row>
    <row r="54" spans="1:18" x14ac:dyDescent="0.4">
      <c r="A54" s="4" t="str">
        <f t="shared" si="1"/>
        <v>輪機工程學系動力工程組</v>
      </c>
      <c r="B54" s="4" t="str">
        <f>"0066D004"</f>
        <v>0066D004</v>
      </c>
      <c r="C54" s="4" t="str">
        <f>"許?"</f>
        <v>許?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4"/>
    </row>
    <row r="55" spans="1:18" x14ac:dyDescent="0.4">
      <c r="A55" s="4" t="str">
        <f t="shared" si="1"/>
        <v>輪機工程學系動力工程組</v>
      </c>
      <c r="B55" s="4" t="str">
        <f>"0066D005"</f>
        <v>0066D005</v>
      </c>
      <c r="C55" s="4" t="str">
        <f>"林祐平"</f>
        <v>林祐平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4"/>
    </row>
    <row r="56" spans="1:18" x14ac:dyDescent="0.4">
      <c r="A56" s="4" t="str">
        <f t="shared" si="1"/>
        <v>輪機工程學系動力工程組</v>
      </c>
      <c r="B56" s="4" t="str">
        <f>"0066D006"</f>
        <v>0066D006</v>
      </c>
      <c r="C56" s="4" t="str">
        <f>"詹易霖"</f>
        <v>詹易霖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4"/>
    </row>
    <row r="57" spans="1:18" x14ac:dyDescent="0.4">
      <c r="A57" s="4" t="str">
        <f t="shared" si="1"/>
        <v>輪機工程學系動力工程組</v>
      </c>
      <c r="B57" s="4" t="str">
        <f>"0066D007"</f>
        <v>0066D007</v>
      </c>
      <c r="C57" s="4" t="str">
        <f>"林庭翊"</f>
        <v>林庭翊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4"/>
    </row>
    <row r="58" spans="1:18" x14ac:dyDescent="0.4">
      <c r="A58" s="4" t="str">
        <f t="shared" si="1"/>
        <v>輪機工程學系動力工程組</v>
      </c>
      <c r="B58" s="4" t="str">
        <f>"0066D008"</f>
        <v>0066D008</v>
      </c>
      <c r="C58" s="4" t="str">
        <f>"高熙泰"</f>
        <v>高熙泰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4"/>
    </row>
    <row r="59" spans="1:18" x14ac:dyDescent="0.4">
      <c r="A59" s="4" t="str">
        <f t="shared" si="1"/>
        <v>輪機工程學系動力工程組</v>
      </c>
      <c r="B59" s="4" t="str">
        <f>"0066D009"</f>
        <v>0066D009</v>
      </c>
      <c r="C59" s="4" t="str">
        <f>"王柏登"</f>
        <v>王柏登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4"/>
    </row>
    <row r="60" spans="1:18" x14ac:dyDescent="0.4">
      <c r="A60" s="4" t="str">
        <f t="shared" si="1"/>
        <v>輪機工程學系動力工程組</v>
      </c>
      <c r="B60" s="4" t="str">
        <f>"0066D010"</f>
        <v>0066D010</v>
      </c>
      <c r="C60" s="4" t="str">
        <f>"樊瑞家"</f>
        <v>樊瑞家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4"/>
    </row>
    <row r="61" spans="1:18" x14ac:dyDescent="0.4">
      <c r="A61" s="4" t="str">
        <f t="shared" si="1"/>
        <v>輪機工程學系動力工程組</v>
      </c>
      <c r="B61" s="4" t="str">
        <f>"0066D011"</f>
        <v>0066D011</v>
      </c>
      <c r="C61" s="4" t="str">
        <f>"謝澤皓"</f>
        <v>謝澤皓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4"/>
    </row>
    <row r="62" spans="1:18" x14ac:dyDescent="0.4">
      <c r="A62" s="4" t="str">
        <f t="shared" si="1"/>
        <v>輪機工程學系動力工程組</v>
      </c>
      <c r="B62" s="4" t="str">
        <f>"0066D012"</f>
        <v>0066D012</v>
      </c>
      <c r="C62" s="4" t="str">
        <f>"林信宏"</f>
        <v>林信宏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4"/>
    </row>
    <row r="63" spans="1:18" x14ac:dyDescent="0.4">
      <c r="A63" s="4" t="str">
        <f t="shared" si="1"/>
        <v>輪機工程學系動力工程組</v>
      </c>
      <c r="B63" s="4" t="str">
        <f>"0066D013"</f>
        <v>0066D013</v>
      </c>
      <c r="C63" s="4" t="str">
        <f>"陳毅"</f>
        <v>陳毅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4"/>
    </row>
    <row r="64" spans="1:18" x14ac:dyDescent="0.4">
      <c r="A64" s="4" t="str">
        <f t="shared" si="1"/>
        <v>輪機工程學系動力工程組</v>
      </c>
      <c r="B64" s="4" t="str">
        <f>"0066D014"</f>
        <v>0066D014</v>
      </c>
      <c r="C64" s="4" t="str">
        <f>"劉?家"</f>
        <v>劉?家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4"/>
    </row>
    <row r="65" spans="1:18" x14ac:dyDescent="0.4">
      <c r="A65" s="4" t="str">
        <f t="shared" si="1"/>
        <v>輪機工程學系動力工程組</v>
      </c>
      <c r="B65" s="4" t="str">
        <f>"0066D015"</f>
        <v>0066D015</v>
      </c>
      <c r="C65" s="4" t="str">
        <f>"胡景閎"</f>
        <v>胡景閎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4"/>
    </row>
    <row r="66" spans="1:18" x14ac:dyDescent="0.4">
      <c r="A66" s="4" t="str">
        <f t="shared" si="1"/>
        <v>輪機工程學系動力工程組</v>
      </c>
      <c r="B66" s="4" t="str">
        <f>"0066D016"</f>
        <v>0066D016</v>
      </c>
      <c r="C66" s="4" t="str">
        <f>"許嘉祐"</f>
        <v>許嘉祐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4"/>
    </row>
    <row r="67" spans="1:18" x14ac:dyDescent="0.4">
      <c r="A67" s="4" t="str">
        <f t="shared" si="1"/>
        <v>輪機工程學系動力工程組</v>
      </c>
      <c r="B67" s="4" t="str">
        <f>"0066D017"</f>
        <v>0066D017</v>
      </c>
      <c r="C67" s="4" t="str">
        <f>"楊宗桓"</f>
        <v>楊宗桓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4"/>
    </row>
    <row r="68" spans="1:18" x14ac:dyDescent="0.4">
      <c r="A68" s="4" t="str">
        <f t="shared" si="1"/>
        <v>輪機工程學系動力工程組</v>
      </c>
      <c r="B68" s="4" t="str">
        <f>"0066D018"</f>
        <v>0066D018</v>
      </c>
      <c r="C68" s="4" t="str">
        <f>"李易庭"</f>
        <v>李易庭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4"/>
    </row>
    <row r="69" spans="1:18" x14ac:dyDescent="0.4">
      <c r="A69" s="4" t="str">
        <f t="shared" si="1"/>
        <v>輪機工程學系動力工程組</v>
      </c>
      <c r="B69" s="4" t="str">
        <f>"0066D019"</f>
        <v>0066D019</v>
      </c>
      <c r="C69" s="4" t="str">
        <f>"秦志輝"</f>
        <v>秦志輝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4"/>
    </row>
    <row r="70" spans="1:18" x14ac:dyDescent="0.4">
      <c r="A70" s="4" t="str">
        <f t="shared" si="1"/>
        <v>輪機工程學系動力工程組</v>
      </c>
      <c r="B70" s="4" t="str">
        <f>"0066D020"</f>
        <v>0066D020</v>
      </c>
      <c r="C70" s="4" t="str">
        <f>"蔡沛岑"</f>
        <v>蔡沛岑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4"/>
    </row>
    <row r="71" spans="1:18" x14ac:dyDescent="0.4">
      <c r="A71" s="4" t="str">
        <f t="shared" si="1"/>
        <v>輪機工程學系動力工程組</v>
      </c>
      <c r="B71" s="4" t="str">
        <f>"0066D021"</f>
        <v>0066D021</v>
      </c>
      <c r="C71" s="4" t="str">
        <f>"鮑?文"</f>
        <v>鮑?文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4"/>
    </row>
    <row r="72" spans="1:18" x14ac:dyDescent="0.4">
      <c r="A72" s="4" t="str">
        <f t="shared" si="1"/>
        <v>輪機工程學系動力工程組</v>
      </c>
      <c r="B72" s="4" t="str">
        <f>"0066D022"</f>
        <v>0066D022</v>
      </c>
      <c r="C72" s="4" t="str">
        <f>"林欣翰"</f>
        <v>林欣翰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4"/>
    </row>
    <row r="73" spans="1:18" x14ac:dyDescent="0.4">
      <c r="A73" s="4" t="str">
        <f t="shared" si="1"/>
        <v>輪機工程學系動力工程組</v>
      </c>
      <c r="B73" s="4" t="str">
        <f>"0066D023"</f>
        <v>0066D023</v>
      </c>
      <c r="C73" s="4" t="str">
        <f>"楊朕嘉"</f>
        <v>楊朕嘉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4"/>
    </row>
    <row r="74" spans="1:18" x14ac:dyDescent="0.4">
      <c r="A74" s="4" t="str">
        <f t="shared" si="1"/>
        <v>輪機工程學系動力工程組</v>
      </c>
      <c r="B74" s="4" t="str">
        <f>"0066D024"</f>
        <v>0066D024</v>
      </c>
      <c r="C74" s="4" t="str">
        <f>"陳明楓"</f>
        <v>陳明楓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4"/>
    </row>
    <row r="75" spans="1:18" x14ac:dyDescent="0.4">
      <c r="A75" s="4" t="str">
        <f t="shared" si="1"/>
        <v>輪機工程學系動力工程組</v>
      </c>
      <c r="B75" s="4" t="str">
        <f>"0066D025"</f>
        <v>0066D025</v>
      </c>
      <c r="C75" s="4" t="str">
        <f>"許豈銓"</f>
        <v>許豈銓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4"/>
    </row>
    <row r="76" spans="1:18" x14ac:dyDescent="0.4">
      <c r="A76" s="4" t="str">
        <f t="shared" si="1"/>
        <v>輪機工程學系動力工程組</v>
      </c>
      <c r="B76" s="4" t="str">
        <f>"0066D026"</f>
        <v>0066D026</v>
      </c>
      <c r="C76" s="4" t="str">
        <f>"游千柔"</f>
        <v>游千柔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4"/>
    </row>
    <row r="77" spans="1:18" x14ac:dyDescent="0.4">
      <c r="A77" s="4" t="str">
        <f t="shared" si="1"/>
        <v>輪機工程學系動力工程組</v>
      </c>
      <c r="B77" s="4" t="str">
        <f>"0066D027"</f>
        <v>0066D027</v>
      </c>
      <c r="C77" s="4" t="str">
        <f>"簡少豪"</f>
        <v>簡少豪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4"/>
    </row>
    <row r="78" spans="1:18" x14ac:dyDescent="0.4">
      <c r="A78" s="4" t="str">
        <f t="shared" si="1"/>
        <v>輪機工程學系動力工程組</v>
      </c>
      <c r="B78" s="4" t="str">
        <f>"0066D028"</f>
        <v>0066D028</v>
      </c>
      <c r="C78" s="4" t="str">
        <f>"蘇益民"</f>
        <v>蘇益民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4"/>
    </row>
    <row r="79" spans="1:18" x14ac:dyDescent="0.4">
      <c r="A79" s="4" t="str">
        <f t="shared" si="1"/>
        <v>輪機工程學系動力工程組</v>
      </c>
      <c r="B79" s="4" t="str">
        <f>"0066D029"</f>
        <v>0066D029</v>
      </c>
      <c r="C79" s="4" t="str">
        <f>"曾郁凱"</f>
        <v>曾郁凱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4"/>
    </row>
    <row r="80" spans="1:18" x14ac:dyDescent="0.4">
      <c r="A80" s="4" t="str">
        <f t="shared" si="1"/>
        <v>輪機工程學系動力工程組</v>
      </c>
      <c r="B80" s="4" t="str">
        <f>"0066D030"</f>
        <v>0066D030</v>
      </c>
      <c r="C80" s="4" t="str">
        <f>"朱騰彬"</f>
        <v>朱騰彬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4"/>
    </row>
    <row r="81" spans="1:18" x14ac:dyDescent="0.4">
      <c r="A81" s="4" t="str">
        <f t="shared" si="1"/>
        <v>輪機工程學系動力工程組</v>
      </c>
      <c r="B81" s="4" t="str">
        <f>"0066D031"</f>
        <v>0066D031</v>
      </c>
      <c r="C81" s="4" t="str">
        <f>"游浚凱"</f>
        <v>游浚凱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4"/>
    </row>
    <row r="82" spans="1:18" x14ac:dyDescent="0.4">
      <c r="A82" s="4" t="str">
        <f t="shared" si="1"/>
        <v>輪機工程學系動力工程組</v>
      </c>
      <c r="B82" s="4" t="str">
        <f>"0066D032"</f>
        <v>0066D032</v>
      </c>
      <c r="C82" s="4" t="str">
        <f>"林允森"</f>
        <v>林允森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4"/>
    </row>
    <row r="83" spans="1:18" x14ac:dyDescent="0.4">
      <c r="A83" s="4" t="str">
        <f t="shared" si="1"/>
        <v>輪機工程學系動力工程組</v>
      </c>
      <c r="B83" s="4" t="str">
        <f>"0066D033"</f>
        <v>0066D033</v>
      </c>
      <c r="C83" s="4" t="str">
        <f>"楊宗霖"</f>
        <v>楊宗霖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4"/>
    </row>
    <row r="84" spans="1:18" x14ac:dyDescent="0.4">
      <c r="A84" s="4" t="str">
        <f t="shared" si="1"/>
        <v>輪機工程學系動力工程組</v>
      </c>
      <c r="B84" s="4" t="str">
        <f>"0066D034"</f>
        <v>0066D034</v>
      </c>
      <c r="C84" s="4" t="str">
        <f>"魏楷倫"</f>
        <v>魏楷倫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4"/>
    </row>
    <row r="85" spans="1:18" x14ac:dyDescent="0.4">
      <c r="A85" s="4" t="str">
        <f t="shared" si="1"/>
        <v>輪機工程學系動力工程組</v>
      </c>
      <c r="B85" s="4" t="str">
        <f>"0066D035"</f>
        <v>0066D035</v>
      </c>
      <c r="C85" s="4" t="str">
        <f>"陳韋綸"</f>
        <v>陳韋綸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 t="s">
        <v>25</v>
      </c>
      <c r="Q85" s="6" t="s">
        <v>25</v>
      </c>
      <c r="R85" s="4">
        <v>2</v>
      </c>
    </row>
    <row r="86" spans="1:18" x14ac:dyDescent="0.4">
      <c r="A86" s="4" t="str">
        <f t="shared" si="1"/>
        <v>輪機工程學系動力工程組</v>
      </c>
      <c r="B86" s="4" t="str">
        <f>"0066D036"</f>
        <v>0066D036</v>
      </c>
      <c r="C86" s="4" t="str">
        <f>"黃偉豪"</f>
        <v>黃偉豪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4"/>
    </row>
    <row r="87" spans="1:18" x14ac:dyDescent="0.4">
      <c r="A87" s="4" t="str">
        <f t="shared" si="1"/>
        <v>輪機工程學系動力工程組</v>
      </c>
      <c r="B87" s="4" t="str">
        <f>"0066D037"</f>
        <v>0066D037</v>
      </c>
      <c r="C87" s="4" t="str">
        <f>"楊定澤"</f>
        <v>楊定澤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4"/>
    </row>
    <row r="88" spans="1:18" x14ac:dyDescent="0.4">
      <c r="A88" s="4" t="str">
        <f t="shared" si="1"/>
        <v>輪機工程學系動力工程組</v>
      </c>
      <c r="B88" s="4" t="str">
        <f>"0066D038"</f>
        <v>0066D038</v>
      </c>
      <c r="C88" s="4" t="str">
        <f>"楊絜崴"</f>
        <v>楊絜崴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4"/>
    </row>
    <row r="89" spans="1:18" x14ac:dyDescent="0.4">
      <c r="A89" s="4" t="str">
        <f t="shared" si="1"/>
        <v>輪機工程學系動力工程組</v>
      </c>
      <c r="B89" s="4" t="str">
        <f>"0066D039"</f>
        <v>0066D039</v>
      </c>
      <c r="C89" s="4" t="str">
        <f>"吳丞翊"</f>
        <v>吳丞翊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4"/>
    </row>
    <row r="90" spans="1:18" x14ac:dyDescent="0.4">
      <c r="A90" s="4" t="str">
        <f t="shared" si="1"/>
        <v>輪機工程學系動力工程組</v>
      </c>
      <c r="B90" s="4" t="str">
        <f>"0066D040"</f>
        <v>0066D040</v>
      </c>
      <c r="C90" s="4" t="str">
        <f>"楊祐涵"</f>
        <v>楊祐涵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 t="s">
        <v>25</v>
      </c>
      <c r="R90" s="4">
        <v>1</v>
      </c>
    </row>
    <row r="91" spans="1:18" x14ac:dyDescent="0.4">
      <c r="A91" s="4" t="str">
        <f t="shared" si="1"/>
        <v>輪機工程學系動力工程組</v>
      </c>
      <c r="B91" s="4" t="str">
        <f>"0066D041"</f>
        <v>0066D041</v>
      </c>
      <c r="C91" s="4" t="str">
        <f>"許育誠"</f>
        <v>許育誠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4"/>
    </row>
    <row r="92" spans="1:18" x14ac:dyDescent="0.4">
      <c r="A92" s="4" t="str">
        <f t="shared" si="1"/>
        <v>輪機工程學系動力工程組</v>
      </c>
      <c r="B92" s="4" t="str">
        <f>"0066D042"</f>
        <v>0066D042</v>
      </c>
      <c r="C92" s="4" t="str">
        <f>"劉前助"</f>
        <v>劉前助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4"/>
    </row>
    <row r="93" spans="1:18" x14ac:dyDescent="0.4">
      <c r="A93" s="4" t="str">
        <f t="shared" si="1"/>
        <v>輪機工程學系動力工程組</v>
      </c>
      <c r="B93" s="4" t="str">
        <f>"0066D043"</f>
        <v>0066D043</v>
      </c>
      <c r="C93" s="4" t="str">
        <f>"陳嘉揚"</f>
        <v>陳嘉揚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4"/>
    </row>
    <row r="94" spans="1:18" x14ac:dyDescent="0.4">
      <c r="A94" s="4" t="str">
        <f t="shared" si="1"/>
        <v>輪機工程學系動力工程組</v>
      </c>
      <c r="B94" s="4" t="str">
        <f>"0066D044"</f>
        <v>0066D044</v>
      </c>
      <c r="C94" s="4" t="str">
        <f>"孔祥瑞"</f>
        <v>孔祥瑞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4"/>
    </row>
    <row r="95" spans="1:18" x14ac:dyDescent="0.4">
      <c r="A95" s="4" t="s">
        <v>0</v>
      </c>
      <c r="B95" s="4" t="s">
        <v>1</v>
      </c>
      <c r="C95" s="4" t="s">
        <v>3</v>
      </c>
      <c r="D95" s="1" t="s">
        <v>12</v>
      </c>
      <c r="E95" s="1" t="s">
        <v>13</v>
      </c>
      <c r="F95" s="1" t="s">
        <v>14</v>
      </c>
      <c r="G95" s="1" t="s">
        <v>15</v>
      </c>
      <c r="H95" s="1" t="s">
        <v>16</v>
      </c>
      <c r="I95" s="1" t="s">
        <v>17</v>
      </c>
      <c r="J95" s="1" t="s">
        <v>10</v>
      </c>
      <c r="K95" s="1" t="s">
        <v>18</v>
      </c>
      <c r="L95" s="2" t="s">
        <v>19</v>
      </c>
      <c r="M95" s="3" t="s">
        <v>20</v>
      </c>
      <c r="N95" s="3" t="s">
        <v>21</v>
      </c>
      <c r="O95" s="3" t="s">
        <v>22</v>
      </c>
      <c r="P95" s="3" t="s">
        <v>23</v>
      </c>
      <c r="Q95" s="3" t="s">
        <v>24</v>
      </c>
      <c r="R95" s="1" t="s">
        <v>11</v>
      </c>
    </row>
    <row r="96" spans="1:18" x14ac:dyDescent="0.4">
      <c r="A96" s="4" t="str">
        <f t="shared" si="1"/>
        <v>輪機工程學系動力工程組</v>
      </c>
      <c r="B96" s="4" t="str">
        <f>"0066D045"</f>
        <v>0066D045</v>
      </c>
      <c r="C96" s="4" t="str">
        <f>"陳彥輔"</f>
        <v>陳彥輔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4">
      <c r="A97" s="4" t="str">
        <f t="shared" si="1"/>
        <v>輪機工程學系動力工程組</v>
      </c>
      <c r="B97" s="4" t="str">
        <f>"0066D046"</f>
        <v>0066D046</v>
      </c>
      <c r="C97" s="4" t="str">
        <f>"洪品韻"</f>
        <v>洪品韻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4">
      <c r="A98" s="4" t="str">
        <f t="shared" si="1"/>
        <v>輪機工程學系動力工程組</v>
      </c>
      <c r="B98" s="4" t="str">
        <f>"0066D047"</f>
        <v>0066D047</v>
      </c>
      <c r="C98" s="4" t="str">
        <f>"趙子寬"</f>
        <v>趙子寬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4">
      <c r="A99" s="4" t="str">
        <f t="shared" si="1"/>
        <v>輪機工程學系動力工程組</v>
      </c>
      <c r="B99" s="4" t="str">
        <f>"0066D048"</f>
        <v>0066D048</v>
      </c>
      <c r="C99" s="4" t="str">
        <f>"林坤翰"</f>
        <v>林坤翰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4">
      <c r="A100" s="4" t="str">
        <f t="shared" si="1"/>
        <v>輪機工程學系動力工程組</v>
      </c>
      <c r="B100" s="4" t="str">
        <f>"0066D049"</f>
        <v>0066D049</v>
      </c>
      <c r="C100" s="4" t="str">
        <f>"葉梓敬"</f>
        <v>葉梓敬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4">
      <c r="A101" s="4" t="str">
        <f t="shared" si="1"/>
        <v>輪機工程學系動力工程組</v>
      </c>
      <c r="B101" s="4" t="str">
        <f>"0066D050"</f>
        <v>0066D050</v>
      </c>
      <c r="C101" s="4" t="str">
        <f>"徐少豐"</f>
        <v>徐少豐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4">
      <c r="A102" s="4" t="str">
        <f t="shared" si="1"/>
        <v>輪機工程學系動力工程組</v>
      </c>
      <c r="B102" s="4" t="str">
        <f>"0066D051"</f>
        <v>0066D051</v>
      </c>
      <c r="C102" s="4" t="str">
        <f>"蔡松霖"</f>
        <v>蔡松霖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4">
      <c r="A103" s="4" t="str">
        <f t="shared" si="1"/>
        <v>輪機工程學系動力工程組</v>
      </c>
      <c r="B103" s="4" t="str">
        <f>"0066D052"</f>
        <v>0066D052</v>
      </c>
      <c r="C103" s="4" t="str">
        <f>"熊玠禎"</f>
        <v>熊玠禎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4">
      <c r="A104" s="4" t="str">
        <f t="shared" si="1"/>
        <v>輪機工程學系動力工程組</v>
      </c>
      <c r="B104" s="4" t="str">
        <f>"0066D053"</f>
        <v>0066D053</v>
      </c>
      <c r="C104" s="4" t="str">
        <f>"賴奕?"</f>
        <v>賴奕?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4">
      <c r="A105" s="4" t="str">
        <f t="shared" si="1"/>
        <v>輪機工程學系動力工程組</v>
      </c>
      <c r="B105" s="4" t="str">
        <f>"0066D054"</f>
        <v>0066D054</v>
      </c>
      <c r="C105" s="4" t="str">
        <f>"許宏維"</f>
        <v>許宏維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4">
      <c r="A106" s="4"/>
      <c r="B106" s="4" t="str">
        <f>"0056D030"</f>
        <v>0056D030</v>
      </c>
      <c r="C106" s="4" t="s">
        <v>30</v>
      </c>
      <c r="D106" s="6" t="s">
        <v>25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v>1</v>
      </c>
    </row>
    <row r="107" spans="1:18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x14ac:dyDescent="0.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x14ac:dyDescent="0.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x14ac:dyDescent="0.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x14ac:dyDescent="0.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x14ac:dyDescent="0.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&amp;C1061化學補強教學出席率登記本</oddHeader>
    <oddFooter>&amp;A&amp;R第 &amp;P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Layout" topLeftCell="A103" workbookViewId="0">
      <selection activeCell="A74" sqref="A74:R74"/>
    </sheetView>
  </sheetViews>
  <sheetFormatPr defaultColWidth="8.7265625" defaultRowHeight="17" x14ac:dyDescent="0.4"/>
  <cols>
    <col min="1" max="1" width="6.08984375" customWidth="1"/>
    <col min="3" max="3" width="8" customWidth="1"/>
    <col min="4" max="18" width="4.6328125" customWidth="1"/>
  </cols>
  <sheetData>
    <row r="1" spans="1:18" x14ac:dyDescent="0.4">
      <c r="A1" s="4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1" t="s">
        <v>11</v>
      </c>
    </row>
    <row r="3" spans="1:18" x14ac:dyDescent="0.4">
      <c r="A3" s="4" t="str">
        <f t="shared" ref="A3:A67" si="0">"機械與機電工程學系"</f>
        <v>機械與機電工程學系</v>
      </c>
      <c r="B3" s="4" t="str">
        <f>"00672001"</f>
        <v>00672001</v>
      </c>
      <c r="C3" s="4" t="str">
        <f>"蔡元隆"</f>
        <v>蔡元隆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4">
      <c r="A4" s="4" t="str">
        <f t="shared" si="0"/>
        <v>機械與機電工程學系</v>
      </c>
      <c r="B4" s="4" t="str">
        <f>"00672002"</f>
        <v>00672002</v>
      </c>
      <c r="C4" s="4" t="str">
        <f>"陳亞凡"</f>
        <v>陳亞凡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4">
      <c r="A5" s="4" t="str">
        <f t="shared" si="0"/>
        <v>機械與機電工程學系</v>
      </c>
      <c r="B5" s="4" t="str">
        <f>"00672003"</f>
        <v>00672003</v>
      </c>
      <c r="C5" s="4" t="str">
        <f>"張哲齊"</f>
        <v>張哲齊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4">
      <c r="A6" s="4" t="str">
        <f t="shared" si="0"/>
        <v>機械與機電工程學系</v>
      </c>
      <c r="B6" s="4" t="str">
        <f>"00672004"</f>
        <v>00672004</v>
      </c>
      <c r="C6" s="4" t="str">
        <f>"江宗晉"</f>
        <v>江宗晉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4">
      <c r="A7" s="4" t="str">
        <f t="shared" si="0"/>
        <v>機械與機電工程學系</v>
      </c>
      <c r="B7" s="4" t="str">
        <f>"00672005"</f>
        <v>00672005</v>
      </c>
      <c r="C7" s="4" t="str">
        <f>"蘇暐倫"</f>
        <v>蘇暐倫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4">
      <c r="A8" s="4" t="str">
        <f t="shared" si="0"/>
        <v>機械與機電工程學系</v>
      </c>
      <c r="B8" s="4" t="str">
        <f>"00672006"</f>
        <v>00672006</v>
      </c>
      <c r="C8" s="4" t="str">
        <f>"張舜雄"</f>
        <v>張舜雄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4">
      <c r="A9" s="4" t="str">
        <f t="shared" si="0"/>
        <v>機械與機電工程學系</v>
      </c>
      <c r="B9" s="4" t="str">
        <f>"00672007"</f>
        <v>00672007</v>
      </c>
      <c r="C9" s="4" t="str">
        <f>"邱瑞彬"</f>
        <v>邱瑞彬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4">
      <c r="A10" s="4" t="str">
        <f t="shared" si="0"/>
        <v>機械與機電工程學系</v>
      </c>
      <c r="B10" s="4" t="str">
        <f>"00672008"</f>
        <v>00672008</v>
      </c>
      <c r="C10" s="4" t="str">
        <f>"馬英傑"</f>
        <v>馬英傑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4">
      <c r="A11" s="4" t="str">
        <f t="shared" si="0"/>
        <v>機械與機電工程學系</v>
      </c>
      <c r="B11" s="4" t="str">
        <f>"00672009"</f>
        <v>00672009</v>
      </c>
      <c r="C11" s="4" t="str">
        <f>"林永強"</f>
        <v>林永強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4">
      <c r="A12" s="4" t="str">
        <f t="shared" si="0"/>
        <v>機械與機電工程學系</v>
      </c>
      <c r="B12" s="4" t="str">
        <f>"00672010"</f>
        <v>00672010</v>
      </c>
      <c r="C12" s="4" t="str">
        <f>"羅嘉亨"</f>
        <v>羅嘉亨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4">
      <c r="A13" s="4" t="str">
        <f t="shared" si="0"/>
        <v>機械與機電工程學系</v>
      </c>
      <c r="B13" s="4" t="str">
        <f>"00672011"</f>
        <v>00672011</v>
      </c>
      <c r="C13" s="4" t="str">
        <f>"周沛澤"</f>
        <v>周沛澤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4">
      <c r="A14" s="4" t="str">
        <f t="shared" si="0"/>
        <v>機械與機電工程學系</v>
      </c>
      <c r="B14" s="4" t="str">
        <f>"00672012"</f>
        <v>00672012</v>
      </c>
      <c r="C14" s="4" t="str">
        <f>"汪昌明"</f>
        <v>汪昌明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4">
      <c r="A15" s="4" t="str">
        <f t="shared" si="0"/>
        <v>機械與機電工程學系</v>
      </c>
      <c r="B15" s="4" t="str">
        <f>"00672013"</f>
        <v>00672013</v>
      </c>
      <c r="C15" s="4" t="str">
        <f>"吳鎮宇"</f>
        <v>吳鎮宇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4">
      <c r="A16" s="4" t="str">
        <f t="shared" si="0"/>
        <v>機械與機電工程學系</v>
      </c>
      <c r="B16" s="4" t="str">
        <f>"00672014"</f>
        <v>00672014</v>
      </c>
      <c r="C16" s="4" t="str">
        <f>"李民祥"</f>
        <v>李民祥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4">
      <c r="A17" s="4" t="str">
        <f t="shared" si="0"/>
        <v>機械與機電工程學系</v>
      </c>
      <c r="B17" s="4" t="str">
        <f>"00672015"</f>
        <v>00672015</v>
      </c>
      <c r="C17" s="4" t="str">
        <f>"彭翊展"</f>
        <v>彭翊展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4">
      <c r="A18" s="4" t="str">
        <f t="shared" si="0"/>
        <v>機械與機電工程學系</v>
      </c>
      <c r="B18" s="4" t="str">
        <f>"00672016"</f>
        <v>00672016</v>
      </c>
      <c r="C18" s="4" t="str">
        <f>"謝孟倫"</f>
        <v>謝孟倫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4">
      <c r="A19" s="4" t="str">
        <f t="shared" si="0"/>
        <v>機械與機電工程學系</v>
      </c>
      <c r="B19" s="4" t="str">
        <f>"00672017"</f>
        <v>00672017</v>
      </c>
      <c r="C19" s="4" t="str">
        <f>"林弘宗"</f>
        <v>林弘宗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4">
      <c r="A20" s="4" t="str">
        <f t="shared" si="0"/>
        <v>機械與機電工程學系</v>
      </c>
      <c r="B20" s="4" t="str">
        <f>"00672018"</f>
        <v>00672018</v>
      </c>
      <c r="C20" s="4" t="str">
        <f>"林子竣"</f>
        <v>林子竣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4">
      <c r="A21" s="4" t="str">
        <f t="shared" si="0"/>
        <v>機械與機電工程學系</v>
      </c>
      <c r="B21" s="4" t="str">
        <f>"00672019"</f>
        <v>00672019</v>
      </c>
      <c r="C21" s="4" t="str">
        <f>"王書宇"</f>
        <v>王書宇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4">
      <c r="A22" s="4" t="str">
        <f t="shared" si="0"/>
        <v>機械與機電工程學系</v>
      </c>
      <c r="B22" s="4" t="str">
        <f>"00672020"</f>
        <v>00672020</v>
      </c>
      <c r="C22" s="4" t="str">
        <f>"陳廷嘉"</f>
        <v>陳廷嘉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4">
      <c r="A23" s="4" t="str">
        <f t="shared" si="0"/>
        <v>機械與機電工程學系</v>
      </c>
      <c r="B23" s="4" t="str">
        <f>"00672021"</f>
        <v>00672021</v>
      </c>
      <c r="C23" s="4" t="str">
        <f>"林芫任"</f>
        <v>林芫任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4">
      <c r="A24" s="4" t="str">
        <f t="shared" si="0"/>
        <v>機械與機電工程學系</v>
      </c>
      <c r="B24" s="4" t="str">
        <f>"00672022"</f>
        <v>00672022</v>
      </c>
      <c r="C24" s="4" t="str">
        <f>"張哲睿"</f>
        <v>張哲睿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4">
      <c r="A25" s="4" t="str">
        <f t="shared" si="0"/>
        <v>機械與機電工程學系</v>
      </c>
      <c r="B25" s="4" t="str">
        <f>"00672023"</f>
        <v>00672023</v>
      </c>
      <c r="C25" s="4" t="str">
        <f>"鄭尹翔"</f>
        <v>鄭尹翔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4">
      <c r="A26" s="4" t="str">
        <f t="shared" si="0"/>
        <v>機械與機電工程學系</v>
      </c>
      <c r="B26" s="4" t="str">
        <f>"00672024"</f>
        <v>00672024</v>
      </c>
      <c r="C26" s="4" t="str">
        <f>"李泓奇"</f>
        <v>李泓奇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4">
      <c r="A27" s="4" t="str">
        <f t="shared" si="0"/>
        <v>機械與機電工程學系</v>
      </c>
      <c r="B27" s="4" t="str">
        <f>"00672025"</f>
        <v>00672025</v>
      </c>
      <c r="C27" s="4" t="str">
        <f>"梁馨予"</f>
        <v>梁馨予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4">
      <c r="A28" s="4" t="str">
        <f t="shared" si="0"/>
        <v>機械與機電工程學系</v>
      </c>
      <c r="B28" s="4" t="str">
        <f>"00672026"</f>
        <v>00672026</v>
      </c>
      <c r="C28" s="4" t="str">
        <f>"邱筱婷"</f>
        <v>邱筱婷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4">
      <c r="A29" s="4" t="str">
        <f t="shared" si="0"/>
        <v>機械與機電工程學系</v>
      </c>
      <c r="B29" s="4" t="str">
        <f>"00672027"</f>
        <v>00672027</v>
      </c>
      <c r="C29" s="4" t="str">
        <f>"紀享誼"</f>
        <v>紀享誼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4">
      <c r="A30" s="4" t="str">
        <f t="shared" si="0"/>
        <v>機械與機電工程學系</v>
      </c>
      <c r="B30" s="4" t="str">
        <f>"00672028"</f>
        <v>00672028</v>
      </c>
      <c r="C30" s="4" t="str">
        <f>"陳奕儒"</f>
        <v>陳奕儒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4">
      <c r="A31" s="4" t="str">
        <f t="shared" si="0"/>
        <v>機械與機電工程學系</v>
      </c>
      <c r="B31" s="4" t="str">
        <f>"00672029"</f>
        <v>00672029</v>
      </c>
      <c r="C31" s="4" t="str">
        <f>"戴劭丞"</f>
        <v>戴劭丞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4">
      <c r="A32" s="4" t="str">
        <f t="shared" si="0"/>
        <v>機械與機電工程學系</v>
      </c>
      <c r="B32" s="4" t="str">
        <f>"00672030"</f>
        <v>00672030</v>
      </c>
      <c r="C32" s="4" t="str">
        <f>"林品綸"</f>
        <v>林品綸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4">
      <c r="A33" s="4" t="str">
        <f t="shared" si="0"/>
        <v>機械與機電工程學系</v>
      </c>
      <c r="B33" s="4" t="str">
        <f>"00672031"</f>
        <v>00672031</v>
      </c>
      <c r="C33" s="4" t="str">
        <f>"林賀名"</f>
        <v>林賀名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4">
      <c r="A34" s="4" t="str">
        <f t="shared" si="0"/>
        <v>機械與機電工程學系</v>
      </c>
      <c r="B34" s="4" t="str">
        <f>"00672032"</f>
        <v>00672032</v>
      </c>
      <c r="C34" s="4" t="str">
        <f>"張昱雯"</f>
        <v>張昱雯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4">
      <c r="A35" s="4" t="str">
        <f t="shared" si="0"/>
        <v>機械與機電工程學系</v>
      </c>
      <c r="B35" s="4" t="str">
        <f>"00672033"</f>
        <v>00672033</v>
      </c>
      <c r="C35" s="4" t="str">
        <f>"林浩"</f>
        <v>林浩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4">
      <c r="A36" s="4" t="str">
        <f t="shared" si="0"/>
        <v>機械與機電工程學系</v>
      </c>
      <c r="B36" s="4" t="str">
        <f>"00672034"</f>
        <v>00672034</v>
      </c>
      <c r="C36" s="4" t="str">
        <f>"李哲宇"</f>
        <v>李哲宇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4">
      <c r="A37" s="4" t="str">
        <f t="shared" si="0"/>
        <v>機械與機電工程學系</v>
      </c>
      <c r="B37" s="4" t="str">
        <f>"00672035"</f>
        <v>00672035</v>
      </c>
      <c r="C37" s="4" t="str">
        <f>"鄭亦宸"</f>
        <v>鄭亦宸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4">
      <c r="A38" s="4" t="str">
        <f t="shared" si="0"/>
        <v>機械與機電工程學系</v>
      </c>
      <c r="B38" s="4" t="str">
        <f>"00672036"</f>
        <v>00672036</v>
      </c>
      <c r="C38" s="4" t="str">
        <f>"藍浚瑋"</f>
        <v>藍浚瑋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4">
      <c r="A39" s="4" t="str">
        <f t="shared" si="0"/>
        <v>機械與機電工程學系</v>
      </c>
      <c r="B39" s="4" t="str">
        <f>"00672037"</f>
        <v>00672037</v>
      </c>
      <c r="C39" s="4" t="str">
        <f>"陳韋廷"</f>
        <v>陳韋廷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4">
      <c r="A40" s="4" t="str">
        <f t="shared" si="0"/>
        <v>機械與機電工程學系</v>
      </c>
      <c r="B40" s="4" t="str">
        <f>"00672038"</f>
        <v>00672038</v>
      </c>
      <c r="C40" s="4" t="str">
        <f>"古浩瑋"</f>
        <v>古浩瑋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4">
      <c r="A41" s="4" t="str">
        <f t="shared" si="0"/>
        <v>機械與機電工程學系</v>
      </c>
      <c r="B41" s="4" t="str">
        <f>"00672039"</f>
        <v>00672039</v>
      </c>
      <c r="C41" s="4" t="str">
        <f>"謝宗?"</f>
        <v>謝宗?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4">
      <c r="A42" s="4" t="str">
        <f t="shared" si="0"/>
        <v>機械與機電工程學系</v>
      </c>
      <c r="B42" s="4" t="str">
        <f>"00672040"</f>
        <v>00672040</v>
      </c>
      <c r="C42" s="4" t="str">
        <f>"周郁邦"</f>
        <v>周郁邦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4">
      <c r="A43" s="4" t="str">
        <f t="shared" si="0"/>
        <v>機械與機電工程學系</v>
      </c>
      <c r="B43" s="4" t="str">
        <f>"00672041"</f>
        <v>00672041</v>
      </c>
      <c r="C43" s="4" t="str">
        <f>"李驊育"</f>
        <v>李驊育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4">
      <c r="A44" s="4" t="str">
        <f t="shared" si="0"/>
        <v>機械與機電工程學系</v>
      </c>
      <c r="B44" s="4" t="str">
        <f>"00672042"</f>
        <v>00672042</v>
      </c>
      <c r="C44" s="4" t="str">
        <f>"廖子權"</f>
        <v>廖子權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4">
      <c r="A45" s="4" t="str">
        <f t="shared" si="0"/>
        <v>機械與機電工程學系</v>
      </c>
      <c r="B45" s="4" t="str">
        <f>"00672043"</f>
        <v>00672043</v>
      </c>
      <c r="C45" s="4" t="str">
        <f>"簡昔恩"</f>
        <v>簡昔恩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4">
      <c r="A46" s="4" t="str">
        <f t="shared" si="0"/>
        <v>機械與機電工程學系</v>
      </c>
      <c r="B46" s="4" t="str">
        <f>"00672044"</f>
        <v>00672044</v>
      </c>
      <c r="C46" s="4" t="str">
        <f>"邱群光"</f>
        <v>邱群光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4">
      <c r="A47" s="4" t="str">
        <f t="shared" si="0"/>
        <v>機械與機電工程學系</v>
      </c>
      <c r="B47" s="4" t="str">
        <f>"00672045"</f>
        <v>00672045</v>
      </c>
      <c r="C47" s="4" t="str">
        <f>"邱柏晨"</f>
        <v>邱柏晨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4">
      <c r="A48" s="4" t="s">
        <v>0</v>
      </c>
      <c r="B48" s="4" t="s">
        <v>1</v>
      </c>
      <c r="C48" s="4" t="s">
        <v>3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10</v>
      </c>
      <c r="K48" s="1" t="s">
        <v>18</v>
      </c>
      <c r="L48" s="2" t="s">
        <v>19</v>
      </c>
      <c r="M48" s="3" t="s">
        <v>20</v>
      </c>
      <c r="N48" s="3" t="s">
        <v>21</v>
      </c>
      <c r="O48" s="3" t="s">
        <v>22</v>
      </c>
      <c r="P48" s="3" t="s">
        <v>23</v>
      </c>
      <c r="Q48" s="3" t="s">
        <v>24</v>
      </c>
      <c r="R48" s="1" t="s">
        <v>11</v>
      </c>
    </row>
    <row r="49" spans="1:18" x14ac:dyDescent="0.4">
      <c r="A49" s="4" t="str">
        <f t="shared" si="0"/>
        <v>機械與機電工程學系</v>
      </c>
      <c r="B49" s="4" t="str">
        <f>"00672046"</f>
        <v>00672046</v>
      </c>
      <c r="C49" s="4" t="str">
        <f>"謝孟佑"</f>
        <v>謝孟佑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4">
      <c r="A50" s="4" t="str">
        <f t="shared" si="0"/>
        <v>機械與機電工程學系</v>
      </c>
      <c r="B50" s="4" t="str">
        <f>"00672047"</f>
        <v>00672047</v>
      </c>
      <c r="C50" s="4" t="str">
        <f>"徐宇辰"</f>
        <v>徐宇辰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4">
      <c r="A51" s="4" t="str">
        <f t="shared" si="0"/>
        <v>機械與機電工程學系</v>
      </c>
      <c r="B51" s="4" t="str">
        <f>"00672048"</f>
        <v>00672048</v>
      </c>
      <c r="C51" s="4" t="str">
        <f>"楊沚曦"</f>
        <v>楊沚曦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4">
      <c r="A52" s="4" t="str">
        <f t="shared" si="0"/>
        <v>機械與機電工程學系</v>
      </c>
      <c r="B52" s="4" t="str">
        <f>"00672101"</f>
        <v>00672101</v>
      </c>
      <c r="C52" s="4" t="str">
        <f>"詹千瑩"</f>
        <v>詹千瑩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4">
      <c r="A53" s="4" t="str">
        <f t="shared" si="0"/>
        <v>機械與機電工程學系</v>
      </c>
      <c r="B53" s="4" t="str">
        <f>"00672102"</f>
        <v>00672102</v>
      </c>
      <c r="C53" s="4" t="str">
        <f>"劉宇翔"</f>
        <v>劉宇翔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4">
      <c r="A54" s="4" t="str">
        <f t="shared" si="0"/>
        <v>機械與機電工程學系</v>
      </c>
      <c r="B54" s="4" t="str">
        <f>"00672103"</f>
        <v>00672103</v>
      </c>
      <c r="C54" s="4" t="str">
        <f>"姜泰銓"</f>
        <v>姜泰銓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4">
      <c r="A55" s="4" t="str">
        <f t="shared" si="0"/>
        <v>機械與機電工程學系</v>
      </c>
      <c r="B55" s="4" t="str">
        <f>"00672104"</f>
        <v>00672104</v>
      </c>
      <c r="C55" s="4" t="str">
        <f>"張哲嘉"</f>
        <v>張哲嘉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4">
      <c r="A56" s="4" t="str">
        <f t="shared" si="0"/>
        <v>機械與機電工程學系</v>
      </c>
      <c r="B56" s="4" t="str">
        <f>"00672105"</f>
        <v>00672105</v>
      </c>
      <c r="C56" s="4" t="str">
        <f>"張智翔"</f>
        <v>張智翔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4">
      <c r="A57" s="4" t="str">
        <f t="shared" si="0"/>
        <v>機械與機電工程學系</v>
      </c>
      <c r="B57" s="4" t="str">
        <f>"00672106"</f>
        <v>00672106</v>
      </c>
      <c r="C57" s="4" t="str">
        <f>"陳奇松"</f>
        <v>陳奇松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4">
      <c r="A58" s="4" t="str">
        <f t="shared" si="0"/>
        <v>機械與機電工程學系</v>
      </c>
      <c r="B58" s="4" t="str">
        <f>"00672107"</f>
        <v>00672107</v>
      </c>
      <c r="C58" s="4" t="str">
        <f>"鄭丞翔"</f>
        <v>鄭丞翔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4">
      <c r="A59" s="4" t="str">
        <f t="shared" si="0"/>
        <v>機械與機電工程學系</v>
      </c>
      <c r="B59" s="4" t="str">
        <f>"00672108"</f>
        <v>00672108</v>
      </c>
      <c r="C59" s="4" t="str">
        <f>"謝為宏"</f>
        <v>謝為宏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4">
      <c r="A60" s="4" t="str">
        <f t="shared" si="0"/>
        <v>機械與機電工程學系</v>
      </c>
      <c r="B60" s="4" t="str">
        <f>"00672109"</f>
        <v>00672109</v>
      </c>
      <c r="C60" s="4" t="str">
        <f>"陳宏睿"</f>
        <v>陳宏睿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4">
      <c r="A61" s="4" t="str">
        <f t="shared" si="0"/>
        <v>機械與機電工程學系</v>
      </c>
      <c r="B61" s="4" t="str">
        <f>"00672110"</f>
        <v>00672110</v>
      </c>
      <c r="C61" s="4" t="str">
        <f>"孫浩哲"</f>
        <v>孫浩哲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4">
      <c r="A62" s="4" t="str">
        <f t="shared" si="0"/>
        <v>機械與機電工程學系</v>
      </c>
      <c r="B62" s="4" t="str">
        <f>"00672111"</f>
        <v>00672111</v>
      </c>
      <c r="C62" s="4" t="str">
        <f>"陳柏亨"</f>
        <v>陳柏亨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4">
      <c r="A63" s="4" t="str">
        <f t="shared" si="0"/>
        <v>機械與機電工程學系</v>
      </c>
      <c r="B63" s="4" t="str">
        <f>"00672112"</f>
        <v>00672112</v>
      </c>
      <c r="C63" s="4" t="str">
        <f>"劉丞祖"</f>
        <v>劉丞祖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4">
      <c r="A64" s="4" t="str">
        <f t="shared" si="0"/>
        <v>機械與機電工程學系</v>
      </c>
      <c r="B64" s="4" t="str">
        <f>"00672113"</f>
        <v>00672113</v>
      </c>
      <c r="C64" s="4" t="str">
        <f>"顏駿朋"</f>
        <v>顏駿朋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4">
      <c r="A65" s="4" t="str">
        <f t="shared" si="0"/>
        <v>機械與機電工程學系</v>
      </c>
      <c r="B65" s="4" t="str">
        <f>"00672114"</f>
        <v>00672114</v>
      </c>
      <c r="C65" s="4" t="str">
        <f>"關羽辰"</f>
        <v>關羽辰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4">
      <c r="A66" s="4" t="str">
        <f t="shared" si="0"/>
        <v>機械與機電工程學系</v>
      </c>
      <c r="B66" s="4" t="str">
        <f>"00672115"</f>
        <v>00672115</v>
      </c>
      <c r="C66" s="4" t="str">
        <f>"辛維朗"</f>
        <v>辛維朗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4">
      <c r="A67" s="4" t="str">
        <f t="shared" si="0"/>
        <v>機械與機電工程學系</v>
      </c>
      <c r="B67" s="4" t="str">
        <f>"00672116"</f>
        <v>00672116</v>
      </c>
      <c r="C67" s="4" t="str">
        <f>"洪敏雄"</f>
        <v>洪敏雄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4">
      <c r="A68" s="4" t="str">
        <f t="shared" ref="A68:A99" si="1">"機械與機電工程學系"</f>
        <v>機械與機電工程學系</v>
      </c>
      <c r="B68" s="4" t="str">
        <f>"00672117"</f>
        <v>00672117</v>
      </c>
      <c r="C68" s="4" t="str">
        <f>"胡凱捷"</f>
        <v>胡凱捷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4">
      <c r="A69" s="4" t="str">
        <f t="shared" si="1"/>
        <v>機械與機電工程學系</v>
      </c>
      <c r="B69" s="4" t="str">
        <f>"00672118"</f>
        <v>00672118</v>
      </c>
      <c r="C69" s="4" t="str">
        <f>"王冠旻"</f>
        <v>王冠旻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4">
      <c r="A70" s="4" t="str">
        <f t="shared" si="1"/>
        <v>機械與機電工程學系</v>
      </c>
      <c r="B70" s="4" t="str">
        <f>"00672119"</f>
        <v>00672119</v>
      </c>
      <c r="C70" s="4" t="str">
        <f>"戴宇辰"</f>
        <v>戴宇辰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4">
      <c r="A71" s="4" t="str">
        <f t="shared" si="1"/>
        <v>機械與機電工程學系</v>
      </c>
      <c r="B71" s="4" t="str">
        <f>"00672120"</f>
        <v>00672120</v>
      </c>
      <c r="C71" s="4" t="str">
        <f>"袁培恩"</f>
        <v>袁培恩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4">
      <c r="A72" s="4" t="str">
        <f t="shared" si="1"/>
        <v>機械與機電工程學系</v>
      </c>
      <c r="B72" s="4" t="str">
        <f>"00672121"</f>
        <v>00672121</v>
      </c>
      <c r="C72" s="4" t="str">
        <f>"李俊昇"</f>
        <v>李俊昇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4">
      <c r="A73" s="4" t="str">
        <f t="shared" si="1"/>
        <v>機械與機電工程學系</v>
      </c>
      <c r="B73" s="4" t="str">
        <f>"00672122"</f>
        <v>00672122</v>
      </c>
      <c r="C73" s="4" t="str">
        <f>"姚建榮"</f>
        <v>姚建榮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4">
      <c r="A74" s="4" t="str">
        <f t="shared" si="1"/>
        <v>機械與機電工程學系</v>
      </c>
      <c r="B74" s="4" t="str">
        <f>"00672123"</f>
        <v>00672123</v>
      </c>
      <c r="C74" s="4" t="str">
        <f>"陳柏宏"</f>
        <v>陳柏宏</v>
      </c>
      <c r="D74" s="4"/>
      <c r="E74" s="4"/>
      <c r="F74" s="4"/>
      <c r="G74" s="4"/>
      <c r="H74" s="4"/>
      <c r="I74" s="4"/>
      <c r="J74" s="6" t="s">
        <v>25</v>
      </c>
      <c r="K74" s="4"/>
      <c r="L74" s="4"/>
      <c r="M74" s="4"/>
      <c r="N74" s="4"/>
      <c r="O74" s="4"/>
      <c r="P74" s="4"/>
      <c r="Q74" s="4"/>
      <c r="R74" s="4">
        <v>1</v>
      </c>
    </row>
    <row r="75" spans="1:18" x14ac:dyDescent="0.4">
      <c r="A75" s="4" t="str">
        <f t="shared" si="1"/>
        <v>機械與機電工程學系</v>
      </c>
      <c r="B75" s="4" t="str">
        <f>"00672124"</f>
        <v>00672124</v>
      </c>
      <c r="C75" s="4" t="str">
        <f>"蔣郁欣"</f>
        <v>蔣郁欣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4">
      <c r="A76" s="4" t="str">
        <f t="shared" si="1"/>
        <v>機械與機電工程學系</v>
      </c>
      <c r="B76" s="4" t="str">
        <f>"00672125"</f>
        <v>00672125</v>
      </c>
      <c r="C76" s="4" t="str">
        <f>"廖芷萱"</f>
        <v>廖芷萱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4">
      <c r="A77" s="4" t="str">
        <f t="shared" si="1"/>
        <v>機械與機電工程學系</v>
      </c>
      <c r="B77" s="4" t="str">
        <f>"00672126"</f>
        <v>00672126</v>
      </c>
      <c r="C77" s="4" t="str">
        <f>"陳柏瑋"</f>
        <v>陳柏瑋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4">
      <c r="A78" s="4" t="str">
        <f t="shared" si="1"/>
        <v>機械與機電工程學系</v>
      </c>
      <c r="B78" s="4" t="str">
        <f>"00672127"</f>
        <v>00672127</v>
      </c>
      <c r="C78" s="4" t="str">
        <f>"蔡家心"</f>
        <v>蔡家心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4">
      <c r="A79" s="4" t="str">
        <f t="shared" si="1"/>
        <v>機械與機電工程學系</v>
      </c>
      <c r="B79" s="4" t="str">
        <f>"00672128"</f>
        <v>00672128</v>
      </c>
      <c r="C79" s="4" t="str">
        <f>"羅仁維"</f>
        <v>羅仁維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4">
      <c r="A80" s="4" t="str">
        <f t="shared" si="1"/>
        <v>機械與機電工程學系</v>
      </c>
      <c r="B80" s="4" t="str">
        <f>"00672129"</f>
        <v>00672129</v>
      </c>
      <c r="C80" s="4" t="str">
        <f>"韋家豪"</f>
        <v>韋家豪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4">
      <c r="A81" s="4" t="str">
        <f t="shared" si="1"/>
        <v>機械與機電工程學系</v>
      </c>
      <c r="B81" s="4" t="str">
        <f>"00672130"</f>
        <v>00672130</v>
      </c>
      <c r="C81" s="4" t="str">
        <f>"魏靖珈"</f>
        <v>魏靖珈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4">
      <c r="A82" s="4" t="str">
        <f t="shared" si="1"/>
        <v>機械與機電工程學系</v>
      </c>
      <c r="B82" s="4" t="str">
        <f>"00672131"</f>
        <v>00672131</v>
      </c>
      <c r="C82" s="4" t="str">
        <f>"黃舜昱"</f>
        <v>黃舜昱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4">
      <c r="A83" s="4" t="str">
        <f t="shared" si="1"/>
        <v>機械與機電工程學系</v>
      </c>
      <c r="B83" s="4" t="str">
        <f>"00672132"</f>
        <v>00672132</v>
      </c>
      <c r="C83" s="4" t="str">
        <f>"鍾志和"</f>
        <v>鍾志和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4">
      <c r="A84" s="4" t="str">
        <f t="shared" si="1"/>
        <v>機械與機電工程學系</v>
      </c>
      <c r="B84" s="4" t="str">
        <f>"00672133"</f>
        <v>00672133</v>
      </c>
      <c r="C84" s="4" t="str">
        <f>"史覲瑄"</f>
        <v>史覲瑄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4">
      <c r="A85" s="4" t="str">
        <f t="shared" si="1"/>
        <v>機械與機電工程學系</v>
      </c>
      <c r="B85" s="4" t="str">
        <f>"00672134"</f>
        <v>00672134</v>
      </c>
      <c r="C85" s="4" t="str">
        <f>"朱懷瑜"</f>
        <v>朱懷瑜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4">
      <c r="A86" s="4" t="str">
        <f t="shared" si="1"/>
        <v>機械與機電工程學系</v>
      </c>
      <c r="B86" s="4" t="str">
        <f>"00672135"</f>
        <v>00672135</v>
      </c>
      <c r="C86" s="4" t="str">
        <f>"林詳峻"</f>
        <v>林詳峻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4">
      <c r="A87" s="4" t="str">
        <f t="shared" si="1"/>
        <v>機械與機電工程學系</v>
      </c>
      <c r="B87" s="4" t="str">
        <f>"00672136"</f>
        <v>00672136</v>
      </c>
      <c r="C87" s="4" t="str">
        <f>"黎亞學"</f>
        <v>黎亞學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4">
      <c r="A88" s="4" t="str">
        <f t="shared" si="1"/>
        <v>機械與機電工程學系</v>
      </c>
      <c r="B88" s="4" t="str">
        <f>"00672137"</f>
        <v>00672137</v>
      </c>
      <c r="C88" s="4" t="str">
        <f>"駱宗典"</f>
        <v>駱宗典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4">
      <c r="A89" s="4" t="str">
        <f t="shared" si="1"/>
        <v>機械與機電工程學系</v>
      </c>
      <c r="B89" s="4" t="str">
        <f>"00672138"</f>
        <v>00672138</v>
      </c>
      <c r="C89" s="4" t="str">
        <f>"張原瑋"</f>
        <v>張原瑋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4">
      <c r="A90" s="4" t="str">
        <f t="shared" si="1"/>
        <v>機械與機電工程學系</v>
      </c>
      <c r="B90" s="4" t="str">
        <f>"00672139"</f>
        <v>00672139</v>
      </c>
      <c r="C90" s="4" t="str">
        <f>"周政宇"</f>
        <v>周政宇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4">
      <c r="A91" s="4" t="str">
        <f t="shared" si="1"/>
        <v>機械與機電工程學系</v>
      </c>
      <c r="B91" s="4" t="str">
        <f>"00672140"</f>
        <v>00672140</v>
      </c>
      <c r="C91" s="4" t="str">
        <f>"丁亞群"</f>
        <v>丁亞群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4">
      <c r="A92" s="4" t="str">
        <f t="shared" si="1"/>
        <v>機械與機電工程學系</v>
      </c>
      <c r="B92" s="4" t="str">
        <f>"00672141"</f>
        <v>00672141</v>
      </c>
      <c r="C92" s="4" t="str">
        <f>"林彥廷"</f>
        <v>林彥廷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4">
      <c r="A93" s="4" t="str">
        <f t="shared" si="1"/>
        <v>機械與機電工程學系</v>
      </c>
      <c r="B93" s="4" t="str">
        <f>"00672142"</f>
        <v>00672142</v>
      </c>
      <c r="C93" s="4" t="str">
        <f>"尤紹閔"</f>
        <v>尤紹閔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4">
      <c r="A94" s="4" t="str">
        <f t="shared" si="1"/>
        <v>機械與機電工程學系</v>
      </c>
      <c r="B94" s="4" t="str">
        <f>"00672143"</f>
        <v>00672143</v>
      </c>
      <c r="C94" s="4" t="str">
        <f>"吳東駿"</f>
        <v>吳東駿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4">
      <c r="A95" s="4" t="s">
        <v>0</v>
      </c>
      <c r="B95" s="4" t="s">
        <v>1</v>
      </c>
      <c r="C95" s="4" t="s">
        <v>3</v>
      </c>
      <c r="D95" s="1" t="s">
        <v>12</v>
      </c>
      <c r="E95" s="1" t="s">
        <v>13</v>
      </c>
      <c r="F95" s="1" t="s">
        <v>14</v>
      </c>
      <c r="G95" s="1" t="s">
        <v>15</v>
      </c>
      <c r="H95" s="1" t="s">
        <v>16</v>
      </c>
      <c r="I95" s="1" t="s">
        <v>17</v>
      </c>
      <c r="J95" s="1" t="s">
        <v>10</v>
      </c>
      <c r="K95" s="1" t="s">
        <v>18</v>
      </c>
      <c r="L95" s="2" t="s">
        <v>19</v>
      </c>
      <c r="M95" s="3" t="s">
        <v>20</v>
      </c>
      <c r="N95" s="3" t="s">
        <v>21</v>
      </c>
      <c r="O95" s="3" t="s">
        <v>22</v>
      </c>
      <c r="P95" s="3" t="s">
        <v>23</v>
      </c>
      <c r="Q95" s="3" t="s">
        <v>24</v>
      </c>
      <c r="R95" s="1" t="s">
        <v>11</v>
      </c>
    </row>
    <row r="96" spans="1:18" x14ac:dyDescent="0.4">
      <c r="A96" s="4" t="str">
        <f t="shared" si="1"/>
        <v>機械與機電工程學系</v>
      </c>
      <c r="B96" s="4" t="str">
        <f>"00672144"</f>
        <v>00672144</v>
      </c>
      <c r="C96" s="4" t="str">
        <f>"賴泰元"</f>
        <v>賴泰元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4">
      <c r="A97" s="4" t="str">
        <f t="shared" si="1"/>
        <v>機械與機電工程學系</v>
      </c>
      <c r="B97" s="4" t="str">
        <f>"00672145"</f>
        <v>00672145</v>
      </c>
      <c r="C97" s="4" t="str">
        <f>"李柏泓"</f>
        <v>李柏泓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4">
      <c r="A98" s="4" t="str">
        <f t="shared" si="1"/>
        <v>機械與機電工程學系</v>
      </c>
      <c r="B98" s="4" t="str">
        <f>"00672146"</f>
        <v>00672146</v>
      </c>
      <c r="C98" s="4" t="str">
        <f>"賴信升"</f>
        <v>賴信升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4">
      <c r="A99" s="4" t="str">
        <f t="shared" si="1"/>
        <v>機械與機電工程學系</v>
      </c>
      <c r="B99" s="4" t="str">
        <f>"00672147"</f>
        <v>00672147</v>
      </c>
      <c r="C99" s="4" t="str">
        <f>"林啟成"</f>
        <v>林啟成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x14ac:dyDescent="0.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x14ac:dyDescent="0.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x14ac:dyDescent="0.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x14ac:dyDescent="0.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x14ac:dyDescent="0.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x14ac:dyDescent="0.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x14ac:dyDescent="0.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&amp;C1061化學補強教學出席率登記本</oddHeader>
    <oddFooter>&amp;A&amp;R第 &amp;P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view="pageLayout" topLeftCell="A100" workbookViewId="0">
      <selection activeCell="D48" sqref="D48:R48"/>
    </sheetView>
  </sheetViews>
  <sheetFormatPr defaultColWidth="8.7265625" defaultRowHeight="17" x14ac:dyDescent="0.4"/>
  <cols>
    <col min="1" max="1" width="6.08984375" customWidth="1"/>
    <col min="3" max="3" width="8" customWidth="1"/>
    <col min="4" max="18" width="4.6328125" customWidth="1"/>
  </cols>
  <sheetData>
    <row r="1" spans="1:18" x14ac:dyDescent="0.4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1" t="s">
        <v>11</v>
      </c>
    </row>
    <row r="3" spans="1:18" x14ac:dyDescent="0.4">
      <c r="A3" s="4" t="str">
        <f t="shared" ref="A3:A34" si="0">"光電與材料科技學士學位學程"</f>
        <v>光電與材料科技學士學位學程</v>
      </c>
      <c r="B3" s="4" t="str">
        <f>"00488019"</f>
        <v>00488019</v>
      </c>
      <c r="C3" s="4" t="str">
        <f>"林新誠"</f>
        <v>林新誠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4">
      <c r="A4" s="4" t="str">
        <f t="shared" si="0"/>
        <v>光電與材料科技學士學位學程</v>
      </c>
      <c r="B4" s="4" t="str">
        <f>"00588201"</f>
        <v>00588201</v>
      </c>
      <c r="C4" s="4" t="str">
        <f>"賴和言"</f>
        <v>賴和言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4">
      <c r="A5" s="4" t="str">
        <f t="shared" si="0"/>
        <v>光電與材料科技學士學位學程</v>
      </c>
      <c r="B5" s="4" t="str">
        <f>"00688001"</f>
        <v>00688001</v>
      </c>
      <c r="C5" s="4" t="str">
        <f>"洪嚴凱"</f>
        <v>洪嚴凱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4">
      <c r="A6" s="4" t="str">
        <f t="shared" si="0"/>
        <v>光電與材料科技學士學位學程</v>
      </c>
      <c r="B6" s="4" t="str">
        <f>"00688002"</f>
        <v>00688002</v>
      </c>
      <c r="C6" s="4" t="str">
        <f>"張晴雯"</f>
        <v>張晴雯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4">
      <c r="A7" s="4" t="str">
        <f t="shared" si="0"/>
        <v>光電與材料科技學士學位學程</v>
      </c>
      <c r="B7" s="4" t="str">
        <f>"00688003"</f>
        <v>00688003</v>
      </c>
      <c r="C7" s="4" t="str">
        <f>"姜力仁"</f>
        <v>姜力仁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4">
      <c r="A8" s="4" t="str">
        <f t="shared" si="0"/>
        <v>光電與材料科技學士學位學程</v>
      </c>
      <c r="B8" s="4" t="str">
        <f>"00688004"</f>
        <v>00688004</v>
      </c>
      <c r="C8" s="4" t="str">
        <f>"曾玟耀"</f>
        <v>曾玟耀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4">
      <c r="A9" s="4" t="str">
        <f t="shared" si="0"/>
        <v>光電與材料科技學士學位學程</v>
      </c>
      <c r="B9" s="4" t="str">
        <f>"00688005"</f>
        <v>00688005</v>
      </c>
      <c r="C9" s="4" t="str">
        <f>"廖品勳"</f>
        <v>廖品勳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4">
      <c r="A10" s="4" t="str">
        <f t="shared" si="0"/>
        <v>光電與材料科技學士學位學程</v>
      </c>
      <c r="B10" s="4" t="str">
        <f>"00688006"</f>
        <v>00688006</v>
      </c>
      <c r="C10" s="4" t="str">
        <f>"曲立恆"</f>
        <v>曲立恆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4">
      <c r="A11" s="4" t="str">
        <f t="shared" si="0"/>
        <v>光電與材料科技學士學位學程</v>
      </c>
      <c r="B11" s="4" t="str">
        <f>"00688007"</f>
        <v>00688007</v>
      </c>
      <c r="C11" s="4" t="str">
        <f>"林千妤"</f>
        <v>林千妤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4">
      <c r="A12" s="4" t="str">
        <f t="shared" si="0"/>
        <v>光電與材料科技學士學位學程</v>
      </c>
      <c r="B12" s="4" t="str">
        <f>"00688008"</f>
        <v>00688008</v>
      </c>
      <c r="C12" s="4" t="str">
        <f>"孫鈺"</f>
        <v>孫鈺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4">
      <c r="A13" s="4" t="str">
        <f t="shared" si="0"/>
        <v>光電與材料科技學士學位學程</v>
      </c>
      <c r="B13" s="4" t="str">
        <f>"00688009"</f>
        <v>00688009</v>
      </c>
      <c r="C13" s="4" t="str">
        <f>"游春彬"</f>
        <v>游春彬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4">
      <c r="A14" s="4" t="str">
        <f t="shared" si="0"/>
        <v>光電與材料科技學士學位學程</v>
      </c>
      <c r="B14" s="4" t="str">
        <f>"00688010"</f>
        <v>00688010</v>
      </c>
      <c r="C14" s="4" t="str">
        <f>"周庭妤"</f>
        <v>周庭妤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4">
      <c r="A15" s="4" t="str">
        <f t="shared" si="0"/>
        <v>光電與材料科技學士學位學程</v>
      </c>
      <c r="B15" s="4" t="str">
        <f>"00688011"</f>
        <v>00688011</v>
      </c>
      <c r="C15" s="4" t="str">
        <f>"鍾秉恩"</f>
        <v>鍾秉恩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4">
      <c r="A16" s="4" t="str">
        <f t="shared" si="0"/>
        <v>光電與材料科技學士學位學程</v>
      </c>
      <c r="B16" s="4" t="str">
        <f>"00688012"</f>
        <v>00688012</v>
      </c>
      <c r="C16" s="4" t="str">
        <f>"王政凱"</f>
        <v>王政凱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4">
      <c r="A17" s="4" t="str">
        <f t="shared" si="0"/>
        <v>光電與材料科技學士學位學程</v>
      </c>
      <c r="B17" s="4" t="str">
        <f>"00688013"</f>
        <v>00688013</v>
      </c>
      <c r="C17" s="4" t="str">
        <f>"陳敬文"</f>
        <v>陳敬文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4">
      <c r="A18" s="4" t="str">
        <f t="shared" si="0"/>
        <v>光電與材料科技學士學位學程</v>
      </c>
      <c r="B18" s="4" t="str">
        <f>"00688014"</f>
        <v>00688014</v>
      </c>
      <c r="C18" s="4" t="str">
        <f>"宋家康"</f>
        <v>宋家康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4">
      <c r="A19" s="4" t="str">
        <f t="shared" si="0"/>
        <v>光電與材料科技學士學位學程</v>
      </c>
      <c r="B19" s="4" t="str">
        <f>"00688015"</f>
        <v>00688015</v>
      </c>
      <c r="C19" s="4" t="str">
        <f>"?俊翰"</f>
        <v>?俊翰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4">
      <c r="A20" s="4" t="str">
        <f t="shared" si="0"/>
        <v>光電與材料科技學士學位學程</v>
      </c>
      <c r="B20" s="4" t="str">
        <f>"00688016"</f>
        <v>00688016</v>
      </c>
      <c r="C20" s="4" t="str">
        <f>"顏哲蔚"</f>
        <v>顏哲蔚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4">
      <c r="A21" s="4" t="str">
        <f t="shared" si="0"/>
        <v>光電與材料科技學士學位學程</v>
      </c>
      <c r="B21" s="4" t="str">
        <f>"00688017"</f>
        <v>00688017</v>
      </c>
      <c r="C21" s="4" t="str">
        <f>"曾致翰"</f>
        <v>曾致翰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4">
      <c r="A22" s="4" t="str">
        <f t="shared" si="0"/>
        <v>光電與材料科技學士學位學程</v>
      </c>
      <c r="B22" s="4" t="str">
        <f>"00688018"</f>
        <v>00688018</v>
      </c>
      <c r="C22" s="4" t="str">
        <f>"翁嘉駿"</f>
        <v>翁嘉駿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4">
      <c r="A23" s="4" t="str">
        <f t="shared" si="0"/>
        <v>光電與材料科技學士學位學程</v>
      </c>
      <c r="B23" s="4" t="str">
        <f>"00688019"</f>
        <v>00688019</v>
      </c>
      <c r="C23" s="4" t="str">
        <f>"楊易融"</f>
        <v>楊易融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4">
      <c r="A24" s="4" t="str">
        <f t="shared" si="0"/>
        <v>光電與材料科技學士學位學程</v>
      </c>
      <c r="B24" s="4" t="str">
        <f>"00688020"</f>
        <v>00688020</v>
      </c>
      <c r="C24" s="4" t="str">
        <f>"洪裕翔"</f>
        <v>洪裕翔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4">
      <c r="A25" s="4" t="str">
        <f t="shared" si="0"/>
        <v>光電與材料科技學士學位學程</v>
      </c>
      <c r="B25" s="4" t="str">
        <f>"00688021"</f>
        <v>00688021</v>
      </c>
      <c r="C25" s="4" t="str">
        <f>"黃健豪"</f>
        <v>黃健豪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4">
      <c r="A26" s="4" t="str">
        <f t="shared" si="0"/>
        <v>光電與材料科技學士學位學程</v>
      </c>
      <c r="B26" s="4" t="str">
        <f>"00688022"</f>
        <v>00688022</v>
      </c>
      <c r="C26" s="4" t="str">
        <f>"林孟廷"</f>
        <v>林孟廷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4">
      <c r="A27" s="4" t="str">
        <f t="shared" si="0"/>
        <v>光電與材料科技學士學位學程</v>
      </c>
      <c r="B27" s="4" t="str">
        <f>"00688023"</f>
        <v>00688023</v>
      </c>
      <c r="C27" s="4" t="str">
        <f>"呂冠霆"</f>
        <v>呂冠霆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4">
      <c r="A28" s="4" t="str">
        <f t="shared" si="0"/>
        <v>光電與材料科技學士學位學程</v>
      </c>
      <c r="B28" s="4" t="str">
        <f>"00688024"</f>
        <v>00688024</v>
      </c>
      <c r="C28" s="4" t="str">
        <f>"李亞竹"</f>
        <v>李亞竹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4">
      <c r="A29" s="4" t="str">
        <f t="shared" si="0"/>
        <v>光電與材料科技學士學位學程</v>
      </c>
      <c r="B29" s="4" t="str">
        <f>"00688025"</f>
        <v>00688025</v>
      </c>
      <c r="C29" s="4" t="str">
        <f>"蘇嘉雯"</f>
        <v>蘇嘉雯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4">
      <c r="A30" s="4" t="str">
        <f t="shared" si="0"/>
        <v>光電與材料科技學士學位學程</v>
      </c>
      <c r="B30" s="4" t="str">
        <f>"00688026"</f>
        <v>00688026</v>
      </c>
      <c r="C30" s="4" t="str">
        <f>"孫煜程"</f>
        <v>孫煜程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4">
      <c r="A31" s="4" t="str">
        <f t="shared" si="0"/>
        <v>光電與材料科技學士學位學程</v>
      </c>
      <c r="B31" s="4" t="str">
        <f>"00688027"</f>
        <v>00688027</v>
      </c>
      <c r="C31" s="4" t="str">
        <f>"顏良宇"</f>
        <v>顏良宇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4">
      <c r="A32" s="4" t="str">
        <f t="shared" si="0"/>
        <v>光電與材料科技學士學位學程</v>
      </c>
      <c r="B32" s="4" t="str">
        <f>"00688028"</f>
        <v>00688028</v>
      </c>
      <c r="C32" s="4" t="str">
        <f>"陳明澤"</f>
        <v>陳明澤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4">
      <c r="A33" s="4" t="str">
        <f t="shared" si="0"/>
        <v>光電與材料科技學士學位學程</v>
      </c>
      <c r="B33" s="4" t="str">
        <f>"00688029"</f>
        <v>00688029</v>
      </c>
      <c r="C33" s="4" t="str">
        <f>"蘇漢文"</f>
        <v>蘇漢文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4">
      <c r="A34" s="4" t="str">
        <f t="shared" si="0"/>
        <v>光電與材料科技學士學位學程</v>
      </c>
      <c r="B34" s="4" t="str">
        <f>"00688030"</f>
        <v>00688030</v>
      </c>
      <c r="C34" s="4" t="str">
        <f>"范祺展"</f>
        <v>范祺展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4">
      <c r="A35" s="4" t="str">
        <f t="shared" ref="A35:A66" si="1">"海洋工程科技學士學位學程"</f>
        <v>海洋工程科技學士學位學程</v>
      </c>
      <c r="B35" s="4" t="str">
        <f>"00656001"</f>
        <v>00656001</v>
      </c>
      <c r="C35" s="4" t="str">
        <f>"鄭宇翔"</f>
        <v>鄭宇翔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4">
      <c r="A36" s="4" t="str">
        <f t="shared" si="1"/>
        <v>海洋工程科技學士學位學程</v>
      </c>
      <c r="B36" s="4" t="str">
        <f>"00656002"</f>
        <v>00656002</v>
      </c>
      <c r="C36" s="4" t="str">
        <f>"江庭瑀"</f>
        <v>江庭瑀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4">
      <c r="A37" s="4" t="str">
        <f t="shared" si="1"/>
        <v>海洋工程科技學士學位學程</v>
      </c>
      <c r="B37" s="4" t="str">
        <f>"00656003"</f>
        <v>00656003</v>
      </c>
      <c r="C37" s="4" t="str">
        <f>"沈哲安"</f>
        <v>沈哲安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4">
      <c r="A38" s="4" t="str">
        <f t="shared" si="1"/>
        <v>海洋工程科技學士學位學程</v>
      </c>
      <c r="B38" s="4" t="str">
        <f>"00656004"</f>
        <v>00656004</v>
      </c>
      <c r="C38" s="4" t="str">
        <f>"林彥妘"</f>
        <v>林彥妘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4">
      <c r="A39" s="4" t="str">
        <f t="shared" si="1"/>
        <v>海洋工程科技學士學位學程</v>
      </c>
      <c r="B39" s="4" t="str">
        <f>"00656005"</f>
        <v>00656005</v>
      </c>
      <c r="C39" s="4" t="str">
        <f>"林美菁"</f>
        <v>林美菁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4">
      <c r="A40" s="4" t="str">
        <f t="shared" si="1"/>
        <v>海洋工程科技學士學位學程</v>
      </c>
      <c r="B40" s="4" t="str">
        <f>"00656006"</f>
        <v>00656006</v>
      </c>
      <c r="C40" s="4" t="str">
        <f>"謝雨臻"</f>
        <v>謝雨臻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4">
      <c r="A41" s="4" t="str">
        <f t="shared" si="1"/>
        <v>海洋工程科技學士學位學程</v>
      </c>
      <c r="B41" s="4" t="str">
        <f>"00656007"</f>
        <v>00656007</v>
      </c>
      <c r="C41" s="4" t="str">
        <f>"林品潔"</f>
        <v>林品潔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4">
      <c r="A42" s="4" t="str">
        <f t="shared" si="1"/>
        <v>海洋工程科技學士學位學程</v>
      </c>
      <c r="B42" s="4" t="str">
        <f>"00656008"</f>
        <v>00656008</v>
      </c>
      <c r="C42" s="4" t="str">
        <f>"廖嘉宏"</f>
        <v>廖嘉宏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4">
      <c r="A43" s="4" t="str">
        <f t="shared" si="1"/>
        <v>海洋工程科技學士學位學程</v>
      </c>
      <c r="B43" s="4" t="str">
        <f>"00656009"</f>
        <v>00656009</v>
      </c>
      <c r="C43" s="4" t="str">
        <f>"曾開誠"</f>
        <v>曾開誠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4">
      <c r="A44" s="4" t="str">
        <f t="shared" si="1"/>
        <v>海洋工程科技學士學位學程</v>
      </c>
      <c r="B44" s="4" t="str">
        <f>"00656010"</f>
        <v>00656010</v>
      </c>
      <c r="C44" s="4" t="str">
        <f>"蔡承恩"</f>
        <v>蔡承恩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4">
      <c r="A45" s="4" t="str">
        <f t="shared" si="1"/>
        <v>海洋工程科技學士學位學程</v>
      </c>
      <c r="B45" s="4" t="str">
        <f>"00656011"</f>
        <v>00656011</v>
      </c>
      <c r="C45" s="4" t="str">
        <f>"許晴"</f>
        <v>許晴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4">
      <c r="A46" s="4" t="str">
        <f t="shared" si="1"/>
        <v>海洋工程科技學士學位學程</v>
      </c>
      <c r="B46" s="4" t="str">
        <f>"00656012"</f>
        <v>00656012</v>
      </c>
      <c r="C46" s="4" t="str">
        <f>"吳奕廷"</f>
        <v>吳奕廷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4">
      <c r="A47" s="4" t="str">
        <f t="shared" si="1"/>
        <v>海洋工程科技學士學位學程</v>
      </c>
      <c r="B47" s="4" t="str">
        <f>"00656013"</f>
        <v>00656013</v>
      </c>
      <c r="C47" s="4" t="str">
        <f>"游鎮嶼"</f>
        <v>游鎮嶼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4">
      <c r="A48" s="4" t="s">
        <v>0</v>
      </c>
      <c r="B48" s="4" t="s">
        <v>1</v>
      </c>
      <c r="C48" s="4" t="s">
        <v>3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10</v>
      </c>
      <c r="K48" s="1" t="s">
        <v>18</v>
      </c>
      <c r="L48" s="2" t="s">
        <v>19</v>
      </c>
      <c r="M48" s="3" t="s">
        <v>20</v>
      </c>
      <c r="N48" s="3" t="s">
        <v>21</v>
      </c>
      <c r="O48" s="3" t="s">
        <v>22</v>
      </c>
      <c r="P48" s="3" t="s">
        <v>23</v>
      </c>
      <c r="Q48" s="3" t="s">
        <v>24</v>
      </c>
      <c r="R48" s="1" t="s">
        <v>11</v>
      </c>
    </row>
    <row r="49" spans="1:18" x14ac:dyDescent="0.4">
      <c r="A49" s="4" t="str">
        <f t="shared" si="1"/>
        <v>海洋工程科技學士學位學程</v>
      </c>
      <c r="B49" s="4" t="str">
        <f>"00656014"</f>
        <v>00656014</v>
      </c>
      <c r="C49" s="4" t="str">
        <f>"林群傑"</f>
        <v>林群傑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4">
      <c r="A50" s="4" t="str">
        <f t="shared" si="1"/>
        <v>海洋工程科技學士學位學程</v>
      </c>
      <c r="B50" s="4" t="str">
        <f>"00656015"</f>
        <v>00656015</v>
      </c>
      <c r="C50" s="4" t="str">
        <f>"邱玠閎"</f>
        <v>邱玠閎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4">
      <c r="A51" s="4" t="str">
        <f t="shared" si="1"/>
        <v>海洋工程科技學士學位學程</v>
      </c>
      <c r="B51" s="4" t="str">
        <f>"00656016"</f>
        <v>00656016</v>
      </c>
      <c r="C51" s="4" t="str">
        <f>"蔡冠緯"</f>
        <v>蔡冠緯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4">
      <c r="A52" s="4" t="str">
        <f t="shared" si="1"/>
        <v>海洋工程科技學士學位學程</v>
      </c>
      <c r="B52" s="4" t="str">
        <f>"00656017"</f>
        <v>00656017</v>
      </c>
      <c r="C52" s="4" t="str">
        <f>"孫良宇"</f>
        <v>孫良宇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4">
      <c r="A53" s="4" t="str">
        <f t="shared" si="1"/>
        <v>海洋工程科技學士學位學程</v>
      </c>
      <c r="B53" s="4" t="str">
        <f>"00656018"</f>
        <v>00656018</v>
      </c>
      <c r="C53" s="4" t="str">
        <f>"郭柏甫"</f>
        <v>郭柏甫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4">
      <c r="A54" s="4" t="str">
        <f t="shared" si="1"/>
        <v>海洋工程科技學士學位學程</v>
      </c>
      <c r="B54" s="4" t="str">
        <f>"00656019"</f>
        <v>00656019</v>
      </c>
      <c r="C54" s="4" t="str">
        <f>"邱柏盛"</f>
        <v>邱柏盛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4">
      <c r="A55" s="4" t="str">
        <f t="shared" si="1"/>
        <v>海洋工程科技學士學位學程</v>
      </c>
      <c r="B55" s="4" t="str">
        <f>"00656020"</f>
        <v>00656020</v>
      </c>
      <c r="C55" s="4" t="str">
        <f>"米展群"</f>
        <v>米展群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4">
      <c r="A56" s="4" t="str">
        <f t="shared" si="1"/>
        <v>海洋工程科技學士學位學程</v>
      </c>
      <c r="B56" s="4" t="str">
        <f>"00656021"</f>
        <v>00656021</v>
      </c>
      <c r="C56" s="4" t="str">
        <f>"許可昀"</f>
        <v>許可昀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4">
      <c r="A57" s="4" t="str">
        <f t="shared" si="1"/>
        <v>海洋工程科技學士學位學程</v>
      </c>
      <c r="B57" s="4" t="str">
        <f>"00656022"</f>
        <v>00656022</v>
      </c>
      <c r="C57" s="4" t="str">
        <f>"張宗鈞"</f>
        <v>張宗鈞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4">
      <c r="A58" s="4" t="str">
        <f t="shared" si="1"/>
        <v>海洋工程科技學士學位學程</v>
      </c>
      <c r="B58" s="4" t="str">
        <f>"00656023"</f>
        <v>00656023</v>
      </c>
      <c r="C58" s="4" t="str">
        <f>"戴暐宸"</f>
        <v>戴暐宸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4">
      <c r="A59" s="4" t="str">
        <f t="shared" si="1"/>
        <v>海洋工程科技學士學位學程</v>
      </c>
      <c r="B59" s="4" t="str">
        <f>"00656024"</f>
        <v>00656024</v>
      </c>
      <c r="C59" s="4" t="str">
        <f>"黃翊杰"</f>
        <v>黃翊杰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4">
      <c r="A60" s="4" t="str">
        <f t="shared" si="1"/>
        <v>海洋工程科技學士學位學程</v>
      </c>
      <c r="B60" s="4" t="str">
        <f>"00656025"</f>
        <v>00656025</v>
      </c>
      <c r="C60" s="4" t="str">
        <f>"蔡長洲"</f>
        <v>蔡長洲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4">
      <c r="A61" s="4" t="str">
        <f t="shared" si="1"/>
        <v>海洋工程科技學士學位學程</v>
      </c>
      <c r="B61" s="4" t="str">
        <f>"00656026"</f>
        <v>00656026</v>
      </c>
      <c r="C61" s="4" t="str">
        <f>"邱瀚興"</f>
        <v>邱瀚興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4">
      <c r="A62" s="4" t="str">
        <f t="shared" si="1"/>
        <v>海洋工程科技學士學位學程</v>
      </c>
      <c r="B62" s="4" t="str">
        <f>"00656027"</f>
        <v>00656027</v>
      </c>
      <c r="C62" s="4" t="str">
        <f>"劉俊杰"</f>
        <v>劉俊杰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4">
      <c r="A63" s="4" t="str">
        <f t="shared" si="1"/>
        <v>海洋工程科技學士學位學程</v>
      </c>
      <c r="B63" s="4" t="str">
        <f>"00656028"</f>
        <v>00656028</v>
      </c>
      <c r="C63" s="4" t="str">
        <f>"廖緯程"</f>
        <v>廖緯程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4">
      <c r="A64" s="4" t="str">
        <f t="shared" si="1"/>
        <v>海洋工程科技學士學位學程</v>
      </c>
      <c r="B64" s="4" t="str">
        <f>"00656029"</f>
        <v>00656029</v>
      </c>
      <c r="C64" s="4" t="str">
        <f>"陳盈吉"</f>
        <v>陳盈吉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4">
      <c r="A65" s="4" t="str">
        <f t="shared" si="1"/>
        <v>海洋工程科技學士學位學程</v>
      </c>
      <c r="B65" s="4" t="str">
        <f>"00656030"</f>
        <v>00656030</v>
      </c>
      <c r="C65" s="4" t="str">
        <f>"鍾承恩"</f>
        <v>鍾承恩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4">
      <c r="A66" s="4" t="str">
        <f t="shared" si="1"/>
        <v>海洋工程科技學士學位學程</v>
      </c>
      <c r="B66" s="4" t="str">
        <f>"00656031"</f>
        <v>00656031</v>
      </c>
      <c r="C66" s="4" t="str">
        <f>"程敏謙"</f>
        <v>程敏謙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&amp;C1061化學補強教學出席率登記本</oddHeader>
    <oddFooter>&amp;A&amp;R第 &amp;P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view="pageLayout" topLeftCell="A127" workbookViewId="0">
      <selection activeCell="A30" sqref="A30:R30"/>
    </sheetView>
  </sheetViews>
  <sheetFormatPr defaultColWidth="8.7265625" defaultRowHeight="17" x14ac:dyDescent="0.4"/>
  <cols>
    <col min="1" max="1" width="6.08984375" customWidth="1"/>
    <col min="3" max="3" width="8" customWidth="1"/>
    <col min="4" max="18" width="4.6328125" customWidth="1"/>
  </cols>
  <sheetData>
    <row r="1" spans="1:18" x14ac:dyDescent="0.4">
      <c r="A1" s="4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1" t="s">
        <v>11</v>
      </c>
    </row>
    <row r="3" spans="1:18" x14ac:dyDescent="0.4">
      <c r="A3" s="4" t="str">
        <f>"生命科學暨生物科技學系"</f>
        <v>生命科學暨生物科技學系</v>
      </c>
      <c r="B3" s="4" t="str">
        <f>"0033B038"</f>
        <v>0033B038</v>
      </c>
      <c r="C3" s="4" t="str">
        <f>"黃貞耀"</f>
        <v>黃貞耀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"/>
    </row>
    <row r="4" spans="1:18" x14ac:dyDescent="0.4">
      <c r="A4" s="4" t="str">
        <f>"生命科學暨生物科技學系"</f>
        <v>生命科學暨生物科技學系</v>
      </c>
      <c r="B4" s="4" t="str">
        <f>"0033B051"</f>
        <v>0033B051</v>
      </c>
      <c r="C4" s="4" t="str">
        <f>"盧立桁"</f>
        <v>盧立桁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"/>
    </row>
    <row r="5" spans="1:18" x14ac:dyDescent="0.4">
      <c r="A5" s="4" t="str">
        <f>"生命科學暨生物科技學系"</f>
        <v>生命科學暨生物科技學系</v>
      </c>
      <c r="B5" s="4" t="str">
        <f>"0053B207"</f>
        <v>0053B207</v>
      </c>
      <c r="C5" s="4" t="str">
        <f>"李建輝"</f>
        <v>李建輝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/>
    </row>
    <row r="6" spans="1:18" x14ac:dyDescent="0.4">
      <c r="A6" s="4" t="str">
        <f t="shared" ref="A6:A36" si="0">"海洋生物科技學士學位學程"</f>
        <v>海洋生物科技學士學位學程</v>
      </c>
      <c r="B6" s="4" t="str">
        <f>"00638001"</f>
        <v>00638001</v>
      </c>
      <c r="C6" s="4" t="str">
        <f>"鄭郁叡"</f>
        <v>鄭郁叡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"/>
    </row>
    <row r="7" spans="1:18" x14ac:dyDescent="0.4">
      <c r="A7" s="4" t="str">
        <f t="shared" si="0"/>
        <v>海洋生物科技學士學位學程</v>
      </c>
      <c r="B7" s="4" t="str">
        <f>"00638002"</f>
        <v>00638002</v>
      </c>
      <c r="C7" s="4" t="str">
        <f>"余凱靖"</f>
        <v>余凱靖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"/>
    </row>
    <row r="8" spans="1:18" x14ac:dyDescent="0.4">
      <c r="A8" s="4" t="str">
        <f t="shared" si="0"/>
        <v>海洋生物科技學士學位學程</v>
      </c>
      <c r="B8" s="4" t="str">
        <f>"00638003"</f>
        <v>00638003</v>
      </c>
      <c r="C8" s="4" t="str">
        <f>"蔡博淵"</f>
        <v>蔡博淵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/>
    </row>
    <row r="9" spans="1:18" x14ac:dyDescent="0.4">
      <c r="A9" s="4" t="str">
        <f t="shared" si="0"/>
        <v>海洋生物科技學士學位學程</v>
      </c>
      <c r="B9" s="4" t="str">
        <f>"00638004"</f>
        <v>00638004</v>
      </c>
      <c r="C9" s="4" t="str">
        <f>"陳煜婷"</f>
        <v>陳煜婷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4"/>
    </row>
    <row r="10" spans="1:18" x14ac:dyDescent="0.4">
      <c r="A10" s="4" t="str">
        <f t="shared" si="0"/>
        <v>海洋生物科技學士學位學程</v>
      </c>
      <c r="B10" s="4" t="str">
        <f>"00638005"</f>
        <v>00638005</v>
      </c>
      <c r="C10" s="4" t="str">
        <f>"戴靜宜"</f>
        <v>戴靜宜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4"/>
    </row>
    <row r="11" spans="1:18" x14ac:dyDescent="0.4">
      <c r="A11" s="4" t="str">
        <f t="shared" si="0"/>
        <v>海洋生物科技學士學位學程</v>
      </c>
      <c r="B11" s="4" t="str">
        <f>"00638006"</f>
        <v>00638006</v>
      </c>
      <c r="C11" s="4" t="str">
        <f>"范家維"</f>
        <v>范家維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4"/>
    </row>
    <row r="12" spans="1:18" x14ac:dyDescent="0.4">
      <c r="A12" s="4" t="str">
        <f t="shared" si="0"/>
        <v>海洋生物科技學士學位學程</v>
      </c>
      <c r="B12" s="4" t="str">
        <f>"00638007"</f>
        <v>00638007</v>
      </c>
      <c r="C12" s="4" t="str">
        <f>"滕瑞彬"</f>
        <v>滕瑞彬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</row>
    <row r="13" spans="1:18" x14ac:dyDescent="0.4">
      <c r="A13" s="4" t="str">
        <f t="shared" si="0"/>
        <v>海洋生物科技學士學位學程</v>
      </c>
      <c r="B13" s="4" t="str">
        <f>"00638008"</f>
        <v>00638008</v>
      </c>
      <c r="C13" s="4" t="str">
        <f>"苗喬甯"</f>
        <v>苗喬甯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"/>
    </row>
    <row r="14" spans="1:18" x14ac:dyDescent="0.4">
      <c r="A14" s="4" t="str">
        <f t="shared" si="0"/>
        <v>海洋生物科技學士學位學程</v>
      </c>
      <c r="B14" s="4" t="str">
        <f>"00638009"</f>
        <v>00638009</v>
      </c>
      <c r="C14" s="4" t="str">
        <f>"林家禎"</f>
        <v>林家禎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</row>
    <row r="15" spans="1:18" x14ac:dyDescent="0.4">
      <c r="A15" s="4" t="str">
        <f t="shared" si="0"/>
        <v>海洋生物科技學士學位學程</v>
      </c>
      <c r="B15" s="4" t="str">
        <f>"00638010"</f>
        <v>00638010</v>
      </c>
      <c r="C15" s="4" t="str">
        <f>"陳采昕"</f>
        <v>陳采昕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 t="s">
        <v>25</v>
      </c>
      <c r="O15" s="6"/>
      <c r="P15" s="6"/>
      <c r="Q15" s="6"/>
      <c r="R15" s="4">
        <v>1</v>
      </c>
    </row>
    <row r="16" spans="1:18" x14ac:dyDescent="0.4">
      <c r="A16" s="4" t="str">
        <f t="shared" si="0"/>
        <v>海洋生物科技學士學位學程</v>
      </c>
      <c r="B16" s="4" t="str">
        <f>"00638011"</f>
        <v>00638011</v>
      </c>
      <c r="C16" s="4" t="str">
        <f>"葛?珣"</f>
        <v>葛?珣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4"/>
    </row>
    <row r="17" spans="1:18" x14ac:dyDescent="0.4">
      <c r="A17" s="4" t="str">
        <f t="shared" si="0"/>
        <v>海洋生物科技學士學位學程</v>
      </c>
      <c r="B17" s="4" t="str">
        <f>"00638012"</f>
        <v>00638012</v>
      </c>
      <c r="C17" s="4" t="str">
        <f>"呂培丞"</f>
        <v>呂培丞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4"/>
    </row>
    <row r="18" spans="1:18" x14ac:dyDescent="0.4">
      <c r="A18" s="4" t="str">
        <f t="shared" si="0"/>
        <v>海洋生物科技學士學位學程</v>
      </c>
      <c r="B18" s="4" t="str">
        <f>"00638013"</f>
        <v>00638013</v>
      </c>
      <c r="C18" s="4" t="str">
        <f>"曹以霖"</f>
        <v>曹以霖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</row>
    <row r="19" spans="1:18" x14ac:dyDescent="0.4">
      <c r="A19" s="4" t="str">
        <f t="shared" si="0"/>
        <v>海洋生物科技學士學位學程</v>
      </c>
      <c r="B19" s="4" t="str">
        <f>"00638014"</f>
        <v>00638014</v>
      </c>
      <c r="C19" s="4" t="str">
        <f>"王彥勛"</f>
        <v>王彥勛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"/>
    </row>
    <row r="20" spans="1:18" x14ac:dyDescent="0.4">
      <c r="A20" s="4" t="str">
        <f t="shared" si="0"/>
        <v>海洋生物科技學士學位學程</v>
      </c>
      <c r="B20" s="4" t="str">
        <f>"00638015"</f>
        <v>00638015</v>
      </c>
      <c r="C20" s="4" t="str">
        <f>"張柏晨"</f>
        <v>張柏晨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4"/>
    </row>
    <row r="21" spans="1:18" x14ac:dyDescent="0.4">
      <c r="A21" s="4" t="str">
        <f t="shared" si="0"/>
        <v>海洋生物科技學士學位學程</v>
      </c>
      <c r="B21" s="4" t="str">
        <f>"00638016"</f>
        <v>00638016</v>
      </c>
      <c r="C21" s="4" t="str">
        <f>"李友瑋"</f>
        <v>李友瑋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4"/>
    </row>
    <row r="22" spans="1:18" x14ac:dyDescent="0.4">
      <c r="A22" s="4" t="str">
        <f t="shared" si="0"/>
        <v>海洋生物科技學士學位學程</v>
      </c>
      <c r="B22" s="4" t="str">
        <f>"00638017"</f>
        <v>00638017</v>
      </c>
      <c r="C22" s="4" t="str">
        <f>"曾思萍"</f>
        <v>曾思萍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4"/>
    </row>
    <row r="23" spans="1:18" x14ac:dyDescent="0.4">
      <c r="A23" s="4" t="str">
        <f t="shared" si="0"/>
        <v>海洋生物科技學士學位學程</v>
      </c>
      <c r="B23" s="4" t="str">
        <f>"00638018"</f>
        <v>00638018</v>
      </c>
      <c r="C23" s="4" t="str">
        <f>"楊竣崴"</f>
        <v>楊竣崴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4"/>
    </row>
    <row r="24" spans="1:18" x14ac:dyDescent="0.4">
      <c r="A24" s="4" t="str">
        <f t="shared" si="0"/>
        <v>海洋生物科技學士學位學程</v>
      </c>
      <c r="B24" s="4" t="str">
        <f>"00638019"</f>
        <v>00638019</v>
      </c>
      <c r="C24" s="4" t="str">
        <f>"黃冠崴"</f>
        <v>黃冠崴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4"/>
    </row>
    <row r="25" spans="1:18" x14ac:dyDescent="0.4">
      <c r="A25" s="4" t="str">
        <f t="shared" si="0"/>
        <v>海洋生物科技學士學位學程</v>
      </c>
      <c r="B25" s="4" t="str">
        <f>"00638020"</f>
        <v>00638020</v>
      </c>
      <c r="C25" s="4" t="str">
        <f>"陳雅琳"</f>
        <v>陳雅琳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4"/>
    </row>
    <row r="26" spans="1:18" x14ac:dyDescent="0.4">
      <c r="A26" s="4" t="str">
        <f t="shared" si="0"/>
        <v>海洋生物科技學士學位學程</v>
      </c>
      <c r="B26" s="4" t="str">
        <f>"00638021"</f>
        <v>00638021</v>
      </c>
      <c r="C26" s="4" t="str">
        <f>"齊婕妤"</f>
        <v>齊婕妤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4"/>
    </row>
    <row r="27" spans="1:18" x14ac:dyDescent="0.4">
      <c r="A27" s="4" t="str">
        <f t="shared" si="0"/>
        <v>海洋生物科技學士學位學程</v>
      </c>
      <c r="B27" s="4" t="str">
        <f>"00638022"</f>
        <v>00638022</v>
      </c>
      <c r="C27" s="4" t="str">
        <f>"李姝鈴"</f>
        <v>李姝鈴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4"/>
    </row>
    <row r="28" spans="1:18" x14ac:dyDescent="0.4">
      <c r="A28" s="4" t="str">
        <f t="shared" si="0"/>
        <v>海洋生物科技學士學位學程</v>
      </c>
      <c r="B28" s="4" t="str">
        <f>"00638023"</f>
        <v>00638023</v>
      </c>
      <c r="C28" s="4" t="str">
        <f>"蕭晴之"</f>
        <v>蕭晴之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4"/>
    </row>
    <row r="29" spans="1:18" x14ac:dyDescent="0.4">
      <c r="A29" s="4" t="str">
        <f t="shared" si="0"/>
        <v>海洋生物科技學士學位學程</v>
      </c>
      <c r="B29" s="4" t="str">
        <f>"00638024"</f>
        <v>00638024</v>
      </c>
      <c r="C29" s="4" t="str">
        <f>"江育名"</f>
        <v>江育名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4"/>
    </row>
    <row r="30" spans="1:18" x14ac:dyDescent="0.4">
      <c r="A30" s="4" t="str">
        <f>"海洋生物科技學士學位學程"</f>
        <v>海洋生物科技學士學位學程</v>
      </c>
      <c r="B30" s="4" t="str">
        <f>"00638025"</f>
        <v>00638025</v>
      </c>
      <c r="C30" s="4" t="str">
        <f>"黃乃一"</f>
        <v>黃乃一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 t="s">
        <v>25</v>
      </c>
      <c r="O30" s="6"/>
      <c r="P30" s="6"/>
      <c r="Q30" s="6"/>
      <c r="R30" s="4">
        <v>1</v>
      </c>
    </row>
    <row r="31" spans="1:18" x14ac:dyDescent="0.4">
      <c r="A31" s="4" t="str">
        <f t="shared" si="0"/>
        <v>海洋生物科技學士學位學程</v>
      </c>
      <c r="B31" s="4" t="str">
        <f>"00638026"</f>
        <v>00638026</v>
      </c>
      <c r="C31" s="4" t="str">
        <f>"陳品安"</f>
        <v>陳品安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4"/>
    </row>
    <row r="32" spans="1:18" x14ac:dyDescent="0.4">
      <c r="A32" s="4" t="str">
        <f t="shared" si="0"/>
        <v>海洋生物科技學士學位學程</v>
      </c>
      <c r="B32" s="4" t="str">
        <f>"00638027"</f>
        <v>00638027</v>
      </c>
      <c r="C32" s="4" t="str">
        <f>"李芃"</f>
        <v>李芃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4"/>
    </row>
    <row r="33" spans="1:18" x14ac:dyDescent="0.4">
      <c r="A33" s="4" t="str">
        <f t="shared" si="0"/>
        <v>海洋生物科技學士學位學程</v>
      </c>
      <c r="B33" s="4" t="str">
        <f>"00638028"</f>
        <v>00638028</v>
      </c>
      <c r="C33" s="4" t="str">
        <f>"廖涓佑"</f>
        <v>廖涓佑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4"/>
    </row>
    <row r="34" spans="1:18" x14ac:dyDescent="0.4">
      <c r="A34" s="4" t="str">
        <f t="shared" si="0"/>
        <v>海洋生物科技學士學位學程</v>
      </c>
      <c r="B34" s="4" t="str">
        <f>"00638029"</f>
        <v>00638029</v>
      </c>
      <c r="C34" s="4" t="str">
        <f>"施任鴻"</f>
        <v>施任鴻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4"/>
    </row>
    <row r="35" spans="1:18" x14ac:dyDescent="0.4">
      <c r="A35" s="4" t="str">
        <f t="shared" si="0"/>
        <v>海洋生物科技學士學位學程</v>
      </c>
      <c r="B35" s="4" t="str">
        <f>"00638030"</f>
        <v>00638030</v>
      </c>
      <c r="C35" s="4" t="str">
        <f>"黃仕齊"</f>
        <v>黃仕齊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4"/>
    </row>
    <row r="36" spans="1:18" x14ac:dyDescent="0.4">
      <c r="A36" s="4" t="str">
        <f t="shared" si="0"/>
        <v>海洋生物科技學士學位學程</v>
      </c>
      <c r="B36" s="4" t="str">
        <f>"00638031"</f>
        <v>00638031</v>
      </c>
      <c r="C36" s="4" t="str">
        <f>"阮庭皓"</f>
        <v>阮庭皓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4"/>
    </row>
    <row r="37" spans="1:18" x14ac:dyDescent="0.4">
      <c r="A37" s="4" t="str">
        <f t="shared" ref="A37:A89" si="1">"生命科學暨生物科技學系"</f>
        <v>生命科學暨生物科技學系</v>
      </c>
      <c r="B37" s="4" t="str">
        <f>"0063B001"</f>
        <v>0063B001</v>
      </c>
      <c r="C37" s="4" t="str">
        <f>"高子婷"</f>
        <v>高子婷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4"/>
    </row>
    <row r="38" spans="1:18" x14ac:dyDescent="0.4">
      <c r="A38" s="4" t="str">
        <f t="shared" si="1"/>
        <v>生命科學暨生物科技學系</v>
      </c>
      <c r="B38" s="4" t="str">
        <f>"0063B002"</f>
        <v>0063B002</v>
      </c>
      <c r="C38" s="4" t="str">
        <f>"葉家維"</f>
        <v>葉家維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"/>
    </row>
    <row r="39" spans="1:18" x14ac:dyDescent="0.4">
      <c r="A39" s="4" t="str">
        <f t="shared" si="1"/>
        <v>生命科學暨生物科技學系</v>
      </c>
      <c r="B39" s="4" t="str">
        <f>"0063B003"</f>
        <v>0063B003</v>
      </c>
      <c r="C39" s="4" t="str">
        <f>"林郁翔"</f>
        <v>林郁翔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"/>
    </row>
    <row r="40" spans="1:18" x14ac:dyDescent="0.4">
      <c r="A40" s="4" t="str">
        <f t="shared" si="1"/>
        <v>生命科學暨生物科技學系</v>
      </c>
      <c r="B40" s="4" t="str">
        <f>"0063B004"</f>
        <v>0063B004</v>
      </c>
      <c r="C40" s="4" t="str">
        <f>"林燕靜"</f>
        <v>林燕靜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4"/>
    </row>
    <row r="41" spans="1:18" x14ac:dyDescent="0.4">
      <c r="A41" s="4" t="str">
        <f t="shared" si="1"/>
        <v>生命科學暨生物科技學系</v>
      </c>
      <c r="B41" s="4" t="str">
        <f>"0063B005"</f>
        <v>0063B005</v>
      </c>
      <c r="C41" s="4" t="str">
        <f>"許嫚讌"</f>
        <v>許嫚讌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4"/>
    </row>
    <row r="42" spans="1:18" x14ac:dyDescent="0.4">
      <c r="A42" s="4" t="str">
        <f t="shared" si="1"/>
        <v>生命科學暨生物科技學系</v>
      </c>
      <c r="B42" s="4" t="str">
        <f>"0063B006"</f>
        <v>0063B006</v>
      </c>
      <c r="C42" s="4" t="str">
        <f>"劉宇潔"</f>
        <v>劉宇潔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4"/>
    </row>
    <row r="43" spans="1:18" x14ac:dyDescent="0.4">
      <c r="A43" s="4" t="str">
        <f t="shared" si="1"/>
        <v>生命科學暨生物科技學系</v>
      </c>
      <c r="B43" s="4" t="str">
        <f>"0063B007"</f>
        <v>0063B007</v>
      </c>
      <c r="C43" s="4" t="str">
        <f>"黃立丞"</f>
        <v>黃立丞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4"/>
    </row>
    <row r="44" spans="1:18" x14ac:dyDescent="0.4">
      <c r="A44" s="4" t="str">
        <f t="shared" si="1"/>
        <v>生命科學暨生物科技學系</v>
      </c>
      <c r="B44" s="4" t="str">
        <f>"0063B008"</f>
        <v>0063B008</v>
      </c>
      <c r="C44" s="4" t="str">
        <f>"詹淯翔"</f>
        <v>詹淯翔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4"/>
    </row>
    <row r="45" spans="1:18" x14ac:dyDescent="0.4">
      <c r="A45" s="4" t="str">
        <f t="shared" si="1"/>
        <v>生命科學暨生物科技學系</v>
      </c>
      <c r="B45" s="4" t="str">
        <f>"0063B009"</f>
        <v>0063B009</v>
      </c>
      <c r="C45" s="4" t="str">
        <f>"陳易辰"</f>
        <v>陳易辰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4"/>
    </row>
    <row r="46" spans="1:18" x14ac:dyDescent="0.4">
      <c r="A46" s="4" t="str">
        <f t="shared" si="1"/>
        <v>生命科學暨生物科技學系</v>
      </c>
      <c r="B46" s="4" t="str">
        <f>"0063B010"</f>
        <v>0063B010</v>
      </c>
      <c r="C46" s="4" t="str">
        <f>"蘇冠丞"</f>
        <v>蘇冠丞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"/>
    </row>
    <row r="47" spans="1:18" x14ac:dyDescent="0.4">
      <c r="A47" s="4" t="str">
        <f t="shared" si="1"/>
        <v>生命科學暨生物科技學系</v>
      </c>
      <c r="B47" s="4" t="str">
        <f>"0063B011"</f>
        <v>0063B011</v>
      </c>
      <c r="C47" s="4" t="str">
        <f>"游景煌"</f>
        <v>游景煌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"/>
    </row>
    <row r="48" spans="1:18" x14ac:dyDescent="0.4">
      <c r="A48" s="4" t="s">
        <v>0</v>
      </c>
      <c r="B48" s="4" t="s">
        <v>1</v>
      </c>
      <c r="C48" s="4" t="s">
        <v>3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10</v>
      </c>
      <c r="K48" s="1" t="s">
        <v>18</v>
      </c>
      <c r="L48" s="2" t="s">
        <v>19</v>
      </c>
      <c r="M48" s="3" t="s">
        <v>20</v>
      </c>
      <c r="N48" s="3" t="s">
        <v>21</v>
      </c>
      <c r="O48" s="3" t="s">
        <v>22</v>
      </c>
      <c r="P48" s="3" t="s">
        <v>23</v>
      </c>
      <c r="Q48" s="3" t="s">
        <v>24</v>
      </c>
      <c r="R48" s="1" t="s">
        <v>11</v>
      </c>
    </row>
    <row r="49" spans="1:18" x14ac:dyDescent="0.4">
      <c r="A49" s="4" t="str">
        <f t="shared" si="1"/>
        <v>生命科學暨生物科技學系</v>
      </c>
      <c r="B49" s="4" t="str">
        <f>"0063B012"</f>
        <v>0063B012</v>
      </c>
      <c r="C49" s="4" t="str">
        <f>"劉定洋"</f>
        <v>劉定洋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4">
      <c r="A50" s="4" t="str">
        <f t="shared" si="1"/>
        <v>生命科學暨生物科技學系</v>
      </c>
      <c r="B50" s="4" t="str">
        <f>"0063B013"</f>
        <v>0063B013</v>
      </c>
      <c r="C50" s="4" t="str">
        <f>"鄭又寧"</f>
        <v>鄭又寧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4">
      <c r="A51" s="4" t="str">
        <f t="shared" si="1"/>
        <v>生命科學暨生物科技學系</v>
      </c>
      <c r="B51" s="4" t="str">
        <f>"0063B014"</f>
        <v>0063B014</v>
      </c>
      <c r="C51" s="4" t="str">
        <f>"胡曣之"</f>
        <v>胡曣之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4">
      <c r="A52" s="4" t="str">
        <f t="shared" si="1"/>
        <v>生命科學暨生物科技學系</v>
      </c>
      <c r="B52" s="4" t="str">
        <f>"0063B015"</f>
        <v>0063B015</v>
      </c>
      <c r="C52" s="4" t="str">
        <f>"吳承蔚"</f>
        <v>吳承蔚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4">
      <c r="A53" s="4" t="str">
        <f t="shared" si="1"/>
        <v>生命科學暨生物科技學系</v>
      </c>
      <c r="B53" s="4" t="str">
        <f>"0063B016"</f>
        <v>0063B016</v>
      </c>
      <c r="C53" s="4" t="str">
        <f>"楊孝祖"</f>
        <v>楊孝祖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4">
      <c r="A54" s="4" t="str">
        <f t="shared" si="1"/>
        <v>生命科學暨生物科技學系</v>
      </c>
      <c r="B54" s="4" t="str">
        <f>"0063B017"</f>
        <v>0063B017</v>
      </c>
      <c r="C54" s="4" t="str">
        <f>"李岳泓"</f>
        <v>李岳泓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4">
      <c r="A55" s="4" t="str">
        <f t="shared" si="1"/>
        <v>生命科學暨生物科技學系</v>
      </c>
      <c r="B55" s="4" t="str">
        <f>"0063B018"</f>
        <v>0063B018</v>
      </c>
      <c r="C55" s="4" t="str">
        <f>"陳宏慈"</f>
        <v>陳宏慈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4">
      <c r="A56" s="4" t="str">
        <f t="shared" si="1"/>
        <v>生命科學暨生物科技學系</v>
      </c>
      <c r="B56" s="4" t="str">
        <f>"0063B019"</f>
        <v>0063B019</v>
      </c>
      <c r="C56" s="4" t="str">
        <f>"顏岑璇"</f>
        <v>顏岑璇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4">
      <c r="A57" s="4" t="str">
        <f t="shared" si="1"/>
        <v>生命科學暨生物科技學系</v>
      </c>
      <c r="B57" s="4" t="str">
        <f>"0063B020"</f>
        <v>0063B020</v>
      </c>
      <c r="C57" s="4" t="str">
        <f>"李宗安"</f>
        <v>李宗安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4">
      <c r="A58" s="4" t="str">
        <f t="shared" si="1"/>
        <v>生命科學暨生物科技學系</v>
      </c>
      <c r="B58" s="4" t="str">
        <f>"0063B021"</f>
        <v>0063B021</v>
      </c>
      <c r="C58" s="4" t="str">
        <f>"陳俞伶"</f>
        <v>陳俞伶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4">
      <c r="A59" s="4" t="str">
        <f t="shared" si="1"/>
        <v>生命科學暨生物科技學系</v>
      </c>
      <c r="B59" s="4" t="str">
        <f>"0063B022"</f>
        <v>0063B022</v>
      </c>
      <c r="C59" s="4" t="str">
        <f>"陳仕哲"</f>
        <v>陳仕哲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4">
      <c r="A60" s="4" t="str">
        <f t="shared" si="1"/>
        <v>生命科學暨生物科技學系</v>
      </c>
      <c r="B60" s="4" t="str">
        <f>"0063B023"</f>
        <v>0063B023</v>
      </c>
      <c r="C60" s="4" t="str">
        <f>"張宇升"</f>
        <v>張宇升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4">
      <c r="A61" s="4" t="str">
        <f t="shared" si="1"/>
        <v>生命科學暨生物科技學系</v>
      </c>
      <c r="B61" s="4" t="str">
        <f>"0063B024"</f>
        <v>0063B024</v>
      </c>
      <c r="C61" s="4" t="str">
        <f>"薛湘雯"</f>
        <v>薛湘雯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4">
      <c r="A62" s="4" t="str">
        <f t="shared" si="1"/>
        <v>生命科學暨生物科技學系</v>
      </c>
      <c r="B62" s="4" t="str">
        <f>"0063B025"</f>
        <v>0063B025</v>
      </c>
      <c r="C62" s="4" t="str">
        <f>"顏芷茜"</f>
        <v>顏芷茜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4">
      <c r="A63" s="4" t="str">
        <f t="shared" si="1"/>
        <v>生命科學暨生物科技學系</v>
      </c>
      <c r="B63" s="4" t="str">
        <f>"0063B026"</f>
        <v>0063B026</v>
      </c>
      <c r="C63" s="4" t="str">
        <f>"詹弦燁"</f>
        <v>詹弦燁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4">
      <c r="A64" s="4" t="str">
        <f t="shared" si="1"/>
        <v>生命科學暨生物科技學系</v>
      </c>
      <c r="B64" s="4" t="str">
        <f>"0063B027"</f>
        <v>0063B027</v>
      </c>
      <c r="C64" s="4" t="str">
        <f>"周玉濤"</f>
        <v>周玉濤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4">
      <c r="A65" s="4" t="str">
        <f t="shared" si="1"/>
        <v>生命科學暨生物科技學系</v>
      </c>
      <c r="B65" s="4" t="str">
        <f>"0063B028"</f>
        <v>0063B028</v>
      </c>
      <c r="C65" s="4" t="str">
        <f>"游崇甫"</f>
        <v>游崇甫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4">
      <c r="A66" s="4" t="str">
        <f t="shared" si="1"/>
        <v>生命科學暨生物科技學系</v>
      </c>
      <c r="B66" s="4" t="str">
        <f>"0063B029"</f>
        <v>0063B029</v>
      </c>
      <c r="C66" s="4" t="str">
        <f>"莊秉凡"</f>
        <v>莊秉凡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4">
      <c r="A67" s="4" t="str">
        <f t="shared" si="1"/>
        <v>生命科學暨生物科技學系</v>
      </c>
      <c r="B67" s="4" t="str">
        <f>"0063B030"</f>
        <v>0063B030</v>
      </c>
      <c r="C67" s="4" t="str">
        <f>"彭璿"</f>
        <v>彭璿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4">
      <c r="A68" s="4" t="str">
        <f t="shared" si="1"/>
        <v>生命科學暨生物科技學系</v>
      </c>
      <c r="B68" s="4" t="str">
        <f>"0063B031"</f>
        <v>0063B031</v>
      </c>
      <c r="C68" s="4" t="str">
        <f>"謝皓宇"</f>
        <v>謝皓宇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4">
      <c r="A69" s="4" t="str">
        <f t="shared" si="1"/>
        <v>生命科學暨生物科技學系</v>
      </c>
      <c r="B69" s="4" t="str">
        <f>"0063B032"</f>
        <v>0063B032</v>
      </c>
      <c r="C69" s="4" t="str">
        <f>"卓世昌"</f>
        <v>卓世昌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4">
      <c r="A70" s="4" t="str">
        <f t="shared" si="1"/>
        <v>生命科學暨生物科技學系</v>
      </c>
      <c r="B70" s="4" t="str">
        <f>"0063B033"</f>
        <v>0063B033</v>
      </c>
      <c r="C70" s="4" t="str">
        <f>"曾宥霖"</f>
        <v>曾宥霖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4">
      <c r="A71" s="4" t="str">
        <f t="shared" si="1"/>
        <v>生命科學暨生物科技學系</v>
      </c>
      <c r="B71" s="4" t="str">
        <f>"0063B034"</f>
        <v>0063B034</v>
      </c>
      <c r="C71" s="4" t="str">
        <f>"田欣蓓"</f>
        <v>田欣蓓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4">
      <c r="A72" s="4" t="str">
        <f t="shared" si="1"/>
        <v>生命科學暨生物科技學系</v>
      </c>
      <c r="B72" s="4" t="str">
        <f>"0063B035"</f>
        <v>0063B035</v>
      </c>
      <c r="C72" s="4" t="str">
        <f>"古佳展"</f>
        <v>古佳展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4">
      <c r="A73" s="4" t="str">
        <f t="shared" si="1"/>
        <v>生命科學暨生物科技學系</v>
      </c>
      <c r="B73" s="4" t="str">
        <f>"0063B036"</f>
        <v>0063B036</v>
      </c>
      <c r="C73" s="4" t="str">
        <f>"黃冠豪"</f>
        <v>黃冠豪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4">
      <c r="A74" s="4" t="str">
        <f t="shared" si="1"/>
        <v>生命科學暨生物科技學系</v>
      </c>
      <c r="B74" s="4" t="str">
        <f>"0063B037"</f>
        <v>0063B037</v>
      </c>
      <c r="C74" s="4" t="str">
        <f>"葉欣慈"</f>
        <v>葉欣慈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4">
      <c r="A75" s="4" t="str">
        <f t="shared" si="1"/>
        <v>生命科學暨生物科技學系</v>
      </c>
      <c r="B75" s="4" t="str">
        <f>"0063B038"</f>
        <v>0063B038</v>
      </c>
      <c r="C75" s="4" t="str">
        <f>"林宛萱"</f>
        <v>林宛萱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4">
      <c r="A76" s="4" t="str">
        <f t="shared" si="1"/>
        <v>生命科學暨生物科技學系</v>
      </c>
      <c r="B76" s="4" t="str">
        <f>"0063B039"</f>
        <v>0063B039</v>
      </c>
      <c r="C76" s="4" t="str">
        <f>"甄顥"</f>
        <v>甄顥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4">
      <c r="A77" s="4" t="str">
        <f t="shared" si="1"/>
        <v>生命科學暨生物科技學系</v>
      </c>
      <c r="B77" s="4" t="str">
        <f>"0063B040"</f>
        <v>0063B040</v>
      </c>
      <c r="C77" s="4" t="str">
        <f>"蘇紹瑜"</f>
        <v>蘇紹瑜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4">
      <c r="A78" s="4" t="str">
        <f t="shared" si="1"/>
        <v>生命科學暨生物科技學系</v>
      </c>
      <c r="B78" s="4" t="str">
        <f>"0063B041"</f>
        <v>0063B041</v>
      </c>
      <c r="C78" s="4" t="str">
        <f>"張彧睿"</f>
        <v>張彧睿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4">
      <c r="A79" s="4" t="str">
        <f t="shared" si="1"/>
        <v>生命科學暨生物科技學系</v>
      </c>
      <c r="B79" s="4" t="str">
        <f>"0063B042"</f>
        <v>0063B042</v>
      </c>
      <c r="C79" s="4" t="str">
        <f>"李晟豪"</f>
        <v>李晟豪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4">
      <c r="A80" s="4" t="str">
        <f t="shared" si="1"/>
        <v>生命科學暨生物科技學系</v>
      </c>
      <c r="B80" s="4" t="str">
        <f>"0063B043"</f>
        <v>0063B043</v>
      </c>
      <c r="C80" s="4" t="str">
        <f>"莊為"</f>
        <v>莊為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4">
      <c r="A81" s="4" t="str">
        <f t="shared" si="1"/>
        <v>生命科學暨生物科技學系</v>
      </c>
      <c r="B81" s="4" t="str">
        <f>"0063B045"</f>
        <v>0063B045</v>
      </c>
      <c r="C81" s="4" t="str">
        <f>"戴鈺涵"</f>
        <v>戴鈺涵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4">
      <c r="A82" s="4" t="str">
        <f t="shared" si="1"/>
        <v>生命科學暨生物科技學系</v>
      </c>
      <c r="B82" s="4" t="str">
        <f>"0063B046"</f>
        <v>0063B046</v>
      </c>
      <c r="C82" s="4" t="str">
        <f>"蔡念恩"</f>
        <v>蔡念恩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4">
      <c r="A83" s="4" t="str">
        <f t="shared" si="1"/>
        <v>生命科學暨生物科技學系</v>
      </c>
      <c r="B83" s="4" t="str">
        <f>"0063B047"</f>
        <v>0063B047</v>
      </c>
      <c r="C83" s="4" t="str">
        <f>"陳薇伊"</f>
        <v>陳薇伊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4">
      <c r="A84" s="4" t="str">
        <f t="shared" si="1"/>
        <v>生命科學暨生物科技學系</v>
      </c>
      <c r="B84" s="4" t="str">
        <f>"0063B048"</f>
        <v>0063B048</v>
      </c>
      <c r="C84" s="4" t="str">
        <f>"何懷輝"</f>
        <v>何懷輝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4">
      <c r="A85" s="4" t="str">
        <f t="shared" si="1"/>
        <v>生命科學暨生物科技學系</v>
      </c>
      <c r="B85" s="4" t="str">
        <f>"0063B049"</f>
        <v>0063B049</v>
      </c>
      <c r="C85" s="4" t="str">
        <f>"何沅穎"</f>
        <v>何沅穎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4">
      <c r="A86" s="4" t="str">
        <f t="shared" si="1"/>
        <v>生命科學暨生物科技學系</v>
      </c>
      <c r="B86" s="4" t="str">
        <f>"0063B050"</f>
        <v>0063B050</v>
      </c>
      <c r="C86" s="4" t="str">
        <f>"林偉鋒"</f>
        <v>林偉鋒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4">
      <c r="A87" s="4" t="str">
        <f t="shared" si="1"/>
        <v>生命科學暨生物科技學系</v>
      </c>
      <c r="B87" s="4" t="str">
        <f>"0063B052"</f>
        <v>0063B052</v>
      </c>
      <c r="C87" s="4" t="str">
        <f>"李睿航"</f>
        <v>李睿航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4">
      <c r="A88" s="4" t="str">
        <f t="shared" si="1"/>
        <v>生命科學暨生物科技學系</v>
      </c>
      <c r="B88" s="4" t="str">
        <f>"0063B053"</f>
        <v>0063B053</v>
      </c>
      <c r="C88" s="4" t="str">
        <f>"黃永峰"</f>
        <v>黃永峰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4">
      <c r="A89" s="4" t="str">
        <f t="shared" si="1"/>
        <v>生命科學暨生物科技學系</v>
      </c>
      <c r="B89" s="4" t="str">
        <f>"0063B054"</f>
        <v>0063B054</v>
      </c>
      <c r="C89" s="4" t="str">
        <f>"梁諾深"</f>
        <v>梁諾深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&amp;C1061化學補強教學出席率登記本</oddHeader>
    <oddFooter>&amp;A&amp;R第 &amp;P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view="pageLayout" topLeftCell="A104" workbookViewId="0">
      <selection activeCell="A111" sqref="A111:R115"/>
    </sheetView>
  </sheetViews>
  <sheetFormatPr defaultColWidth="8.7265625" defaultRowHeight="17" x14ac:dyDescent="0.4"/>
  <cols>
    <col min="1" max="1" width="6.08984375" customWidth="1"/>
    <col min="3" max="3" width="8" customWidth="1"/>
    <col min="4" max="18" width="4.6328125" customWidth="1"/>
  </cols>
  <sheetData>
    <row r="1" spans="1:18" x14ac:dyDescent="0.4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1" t="s">
        <v>11</v>
      </c>
    </row>
    <row r="3" spans="1:18" x14ac:dyDescent="0.4">
      <c r="A3" s="4" t="str">
        <f t="shared" ref="A3:A55" si="0">"環境生物與漁業科學學系"</f>
        <v>環境生物與漁業科學學系</v>
      </c>
      <c r="B3" s="4" t="str">
        <f>"00631001"</f>
        <v>00631001</v>
      </c>
      <c r="C3" s="4" t="str">
        <f>"丁之博"</f>
        <v>丁之博</v>
      </c>
      <c r="D3" s="6"/>
      <c r="E3" s="6"/>
      <c r="F3" s="6"/>
      <c r="G3" s="6"/>
      <c r="H3" s="6"/>
      <c r="I3" s="6"/>
      <c r="J3" s="6"/>
      <c r="K3" s="6"/>
      <c r="L3" s="6"/>
      <c r="M3" s="6" t="s">
        <v>25</v>
      </c>
      <c r="N3" s="6"/>
      <c r="O3" s="6"/>
      <c r="P3" s="6"/>
      <c r="Q3" s="6"/>
      <c r="R3" s="4">
        <v>1</v>
      </c>
    </row>
    <row r="4" spans="1:18" x14ac:dyDescent="0.4">
      <c r="A4" s="4" t="str">
        <f t="shared" si="0"/>
        <v>環境生物與漁業科學學系</v>
      </c>
      <c r="B4" s="4" t="str">
        <f>"00631002"</f>
        <v>00631002</v>
      </c>
      <c r="C4" s="4" t="str">
        <f>"錢思丞"</f>
        <v>錢思丞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"/>
    </row>
    <row r="5" spans="1:18" x14ac:dyDescent="0.4">
      <c r="A5" s="4" t="str">
        <f t="shared" si="0"/>
        <v>環境生物與漁業科學學系</v>
      </c>
      <c r="B5" s="4" t="str">
        <f>"00631003"</f>
        <v>00631003</v>
      </c>
      <c r="C5" s="4" t="str">
        <f>"呂玟潔"</f>
        <v>呂玟潔</v>
      </c>
      <c r="D5" s="6"/>
      <c r="E5" s="6"/>
      <c r="F5" s="6"/>
      <c r="G5" s="6"/>
      <c r="H5" s="6"/>
      <c r="I5" s="6"/>
      <c r="J5" s="6"/>
      <c r="K5" s="6"/>
      <c r="L5" s="6"/>
      <c r="M5" s="6" t="s">
        <v>25</v>
      </c>
      <c r="N5" s="6"/>
      <c r="O5" s="6"/>
      <c r="P5" s="6"/>
      <c r="Q5" s="6"/>
      <c r="R5" s="4">
        <v>1</v>
      </c>
    </row>
    <row r="6" spans="1:18" x14ac:dyDescent="0.4">
      <c r="A6" s="4" t="str">
        <f t="shared" si="0"/>
        <v>環境生物與漁業科學學系</v>
      </c>
      <c r="B6" s="4" t="str">
        <f>"00631004"</f>
        <v>00631004</v>
      </c>
      <c r="C6" s="4" t="str">
        <f>"林娜"</f>
        <v>林娜</v>
      </c>
      <c r="D6" s="6"/>
      <c r="E6" s="6"/>
      <c r="F6" s="6"/>
      <c r="G6" s="6"/>
      <c r="H6" s="6" t="s">
        <v>25</v>
      </c>
      <c r="I6" s="6"/>
      <c r="J6" s="6"/>
      <c r="K6" s="6"/>
      <c r="L6" s="6"/>
      <c r="M6" s="6"/>
      <c r="N6" s="6"/>
      <c r="O6" s="6"/>
      <c r="P6" s="6"/>
      <c r="Q6" s="6"/>
      <c r="R6" s="4">
        <v>1</v>
      </c>
    </row>
    <row r="7" spans="1:18" x14ac:dyDescent="0.4">
      <c r="A7" s="4" t="str">
        <f t="shared" si="0"/>
        <v>環境生物與漁業科學學系</v>
      </c>
      <c r="B7" s="4" t="str">
        <f>"00631005"</f>
        <v>00631005</v>
      </c>
      <c r="C7" s="4" t="str">
        <f>"張荁荁"</f>
        <v>張荁荁</v>
      </c>
      <c r="D7" s="6"/>
      <c r="E7" s="6"/>
      <c r="F7" s="6"/>
      <c r="G7" s="6"/>
      <c r="H7" s="6"/>
      <c r="I7" s="6"/>
      <c r="J7" s="6"/>
      <c r="K7" s="6"/>
      <c r="L7" s="6"/>
      <c r="M7" s="6" t="s">
        <v>25</v>
      </c>
      <c r="N7" s="6"/>
      <c r="O7" s="6"/>
      <c r="P7" s="6"/>
      <c r="Q7" s="6" t="s">
        <v>25</v>
      </c>
      <c r="R7" s="4">
        <v>2</v>
      </c>
    </row>
    <row r="8" spans="1:18" x14ac:dyDescent="0.4">
      <c r="A8" s="4" t="str">
        <f t="shared" si="0"/>
        <v>環境生物與漁業科學學系</v>
      </c>
      <c r="B8" s="4" t="str">
        <f>"00631006"</f>
        <v>00631006</v>
      </c>
      <c r="C8" s="4" t="str">
        <f>"許哲瑋"</f>
        <v>許哲瑋</v>
      </c>
      <c r="D8" s="6"/>
      <c r="E8" s="6"/>
      <c r="F8" s="6"/>
      <c r="G8" s="6"/>
      <c r="H8" s="6"/>
      <c r="I8" s="6"/>
      <c r="J8" s="6"/>
      <c r="K8" s="6"/>
      <c r="L8" s="6"/>
      <c r="M8" s="6"/>
      <c r="N8" s="6" t="s">
        <v>25</v>
      </c>
      <c r="O8" s="6"/>
      <c r="P8" s="6"/>
      <c r="Q8" s="6" t="s">
        <v>25</v>
      </c>
      <c r="R8" s="4">
        <v>2</v>
      </c>
    </row>
    <row r="9" spans="1:18" x14ac:dyDescent="0.4">
      <c r="A9" s="4" t="str">
        <f t="shared" si="0"/>
        <v>環境生物與漁業科學學系</v>
      </c>
      <c r="B9" s="4" t="str">
        <f>"00631007"</f>
        <v>00631007</v>
      </c>
      <c r="C9" s="4" t="str">
        <f>"吳佳睿"</f>
        <v>吳佳睿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4"/>
    </row>
    <row r="10" spans="1:18" x14ac:dyDescent="0.4">
      <c r="A10" s="4" t="str">
        <f t="shared" si="0"/>
        <v>環境生物與漁業科學學系</v>
      </c>
      <c r="B10" s="4" t="str">
        <f>"00631008"</f>
        <v>00631008</v>
      </c>
      <c r="C10" s="4" t="str">
        <f>"許意玟"</f>
        <v>許意玟</v>
      </c>
      <c r="D10" s="6"/>
      <c r="E10" s="6"/>
      <c r="F10" s="6"/>
      <c r="G10" s="6"/>
      <c r="H10" s="6"/>
      <c r="I10" s="6"/>
      <c r="J10" s="6"/>
      <c r="K10" s="6"/>
      <c r="L10" s="6"/>
      <c r="M10" s="6" t="s">
        <v>25</v>
      </c>
      <c r="N10" s="6"/>
      <c r="O10" s="6"/>
      <c r="P10" s="6"/>
      <c r="Q10" s="6" t="s">
        <v>25</v>
      </c>
      <c r="R10" s="4">
        <v>2</v>
      </c>
    </row>
    <row r="11" spans="1:18" x14ac:dyDescent="0.4">
      <c r="A11" s="4" t="str">
        <f t="shared" si="0"/>
        <v>環境生物與漁業科學學系</v>
      </c>
      <c r="B11" s="4" t="str">
        <f>"00631009"</f>
        <v>00631009</v>
      </c>
      <c r="C11" s="4" t="str">
        <f>"劉海洋"</f>
        <v>劉海洋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4"/>
    </row>
    <row r="12" spans="1:18" x14ac:dyDescent="0.4">
      <c r="A12" s="4" t="str">
        <f t="shared" si="0"/>
        <v>環境生物與漁業科學學系</v>
      </c>
      <c r="B12" s="4" t="str">
        <f>"00631010"</f>
        <v>00631010</v>
      </c>
      <c r="C12" s="4" t="str">
        <f>"李昱霖"</f>
        <v>李昱霖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</row>
    <row r="13" spans="1:18" x14ac:dyDescent="0.4">
      <c r="A13" s="4" t="str">
        <f t="shared" si="0"/>
        <v>環境生物與漁業科學學系</v>
      </c>
      <c r="B13" s="4" t="str">
        <f>"00631011"</f>
        <v>00631011</v>
      </c>
      <c r="C13" s="4" t="str">
        <f>"陳建志"</f>
        <v>陳建志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 t="s">
        <v>25</v>
      </c>
      <c r="Q13" s="6"/>
      <c r="R13" s="4">
        <v>1</v>
      </c>
    </row>
    <row r="14" spans="1:18" x14ac:dyDescent="0.4">
      <c r="A14" s="4" t="str">
        <f t="shared" si="0"/>
        <v>環境生物與漁業科學學系</v>
      </c>
      <c r="B14" s="4" t="str">
        <f>"00631012"</f>
        <v>00631012</v>
      </c>
      <c r="C14" s="4" t="str">
        <f>"黃子恆"</f>
        <v>黃子恆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</row>
    <row r="15" spans="1:18" x14ac:dyDescent="0.4">
      <c r="A15" s="4" t="str">
        <f t="shared" si="0"/>
        <v>環境生物與漁業科學學系</v>
      </c>
      <c r="B15" s="4" t="str">
        <f>"00631013"</f>
        <v>00631013</v>
      </c>
      <c r="C15" s="4" t="str">
        <f>"林俊叡"</f>
        <v>林俊叡</v>
      </c>
      <c r="D15" s="6"/>
      <c r="E15" s="6"/>
      <c r="F15" s="6"/>
      <c r="G15" s="6"/>
      <c r="H15" s="6"/>
      <c r="I15" s="6"/>
      <c r="J15" s="6"/>
      <c r="K15" s="6"/>
      <c r="L15" s="6"/>
      <c r="M15" s="6" t="s">
        <v>25</v>
      </c>
      <c r="N15" s="6"/>
      <c r="O15" s="6"/>
      <c r="P15" s="6"/>
      <c r="Q15" s="6"/>
      <c r="R15" s="4">
        <v>1</v>
      </c>
    </row>
    <row r="16" spans="1:18" x14ac:dyDescent="0.4">
      <c r="A16" s="4" t="str">
        <f t="shared" si="0"/>
        <v>環境生物與漁業科學學系</v>
      </c>
      <c r="B16" s="4" t="str">
        <f>"00631014"</f>
        <v>00631014</v>
      </c>
      <c r="C16" s="4" t="str">
        <f>"陳沛辛"</f>
        <v>陳沛辛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4"/>
    </row>
    <row r="17" spans="1:18" x14ac:dyDescent="0.4">
      <c r="A17" s="4" t="str">
        <f t="shared" si="0"/>
        <v>環境生物與漁業科學學系</v>
      </c>
      <c r="B17" s="4" t="str">
        <f>"00631015"</f>
        <v>00631015</v>
      </c>
      <c r="C17" s="4" t="str">
        <f>"楊沛峰"</f>
        <v>楊沛峰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 t="s">
        <v>25</v>
      </c>
      <c r="Q17" s="6"/>
      <c r="R17" s="4">
        <v>1</v>
      </c>
    </row>
    <row r="18" spans="1:18" x14ac:dyDescent="0.4">
      <c r="A18" s="4" t="str">
        <f t="shared" si="0"/>
        <v>環境生物與漁業科學學系</v>
      </c>
      <c r="B18" s="4" t="str">
        <f>"00631016"</f>
        <v>00631016</v>
      </c>
      <c r="C18" s="4" t="str">
        <f>"馮韻如"</f>
        <v>馮韻如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 t="s">
        <v>25</v>
      </c>
      <c r="Q18" s="6" t="s">
        <v>25</v>
      </c>
      <c r="R18" s="4">
        <v>2</v>
      </c>
    </row>
    <row r="19" spans="1:18" x14ac:dyDescent="0.4">
      <c r="A19" s="4" t="str">
        <f t="shared" si="0"/>
        <v>環境生物與漁業科學學系</v>
      </c>
      <c r="B19" s="4" t="str">
        <f>"00631017"</f>
        <v>00631017</v>
      </c>
      <c r="C19" s="4" t="str">
        <f>"范宜臻"</f>
        <v>范宜臻</v>
      </c>
      <c r="D19" s="6"/>
      <c r="E19" s="6"/>
      <c r="F19" s="6"/>
      <c r="G19" s="6"/>
      <c r="H19" s="6" t="s">
        <v>25</v>
      </c>
      <c r="I19" s="6"/>
      <c r="J19" s="6"/>
      <c r="K19" s="6"/>
      <c r="L19" s="6"/>
      <c r="M19" s="6" t="s">
        <v>25</v>
      </c>
      <c r="N19" s="6"/>
      <c r="O19" s="6"/>
      <c r="P19" s="6"/>
      <c r="Q19" s="6" t="s">
        <v>25</v>
      </c>
      <c r="R19" s="4">
        <v>3</v>
      </c>
    </row>
    <row r="20" spans="1:18" x14ac:dyDescent="0.4">
      <c r="A20" s="4" t="str">
        <f t="shared" si="0"/>
        <v>環境生物與漁業科學學系</v>
      </c>
      <c r="B20" s="4" t="str">
        <f>"00631018"</f>
        <v>00631018</v>
      </c>
      <c r="C20" s="4" t="str">
        <f>"李韋澔"</f>
        <v>李韋澔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4"/>
    </row>
    <row r="21" spans="1:18" x14ac:dyDescent="0.4">
      <c r="A21" s="4" t="str">
        <f t="shared" si="0"/>
        <v>環境生物與漁業科學學系</v>
      </c>
      <c r="B21" s="4" t="str">
        <f>"00631019"</f>
        <v>00631019</v>
      </c>
      <c r="C21" s="4" t="str">
        <f>"高立瓴"</f>
        <v>高立瓴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 t="s">
        <v>25</v>
      </c>
      <c r="Q21" s="6"/>
      <c r="R21" s="4">
        <v>1</v>
      </c>
    </row>
    <row r="22" spans="1:18" x14ac:dyDescent="0.4">
      <c r="A22" s="4" t="str">
        <f t="shared" si="0"/>
        <v>環境生物與漁業科學學系</v>
      </c>
      <c r="B22" s="4" t="str">
        <f>"00631020"</f>
        <v>00631020</v>
      </c>
      <c r="C22" s="4" t="str">
        <f>"李晴晴"</f>
        <v>李晴晴</v>
      </c>
      <c r="D22" s="6"/>
      <c r="E22" s="6"/>
      <c r="F22" s="6"/>
      <c r="G22" s="6"/>
      <c r="H22" s="6"/>
      <c r="I22" s="6"/>
      <c r="J22" s="6"/>
      <c r="K22" s="6"/>
      <c r="L22" s="6"/>
      <c r="M22" s="6" t="s">
        <v>25</v>
      </c>
      <c r="N22" s="6"/>
      <c r="O22" s="6"/>
      <c r="P22" s="6"/>
      <c r="Q22" s="6" t="s">
        <v>25</v>
      </c>
      <c r="R22" s="4">
        <v>2</v>
      </c>
    </row>
    <row r="23" spans="1:18" x14ac:dyDescent="0.4">
      <c r="A23" s="4" t="str">
        <f t="shared" si="0"/>
        <v>環境生物與漁業科學學系</v>
      </c>
      <c r="B23" s="4" t="str">
        <f>"00631021"</f>
        <v>00631021</v>
      </c>
      <c r="C23" s="4" t="str">
        <f>"李品萱"</f>
        <v>李品萱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 t="s">
        <v>25</v>
      </c>
      <c r="R23" s="4">
        <v>1</v>
      </c>
    </row>
    <row r="24" spans="1:18" x14ac:dyDescent="0.4">
      <c r="A24" s="4" t="str">
        <f t="shared" si="0"/>
        <v>環境生物與漁業科學學系</v>
      </c>
      <c r="B24" s="4" t="str">
        <f>"00631022"</f>
        <v>00631022</v>
      </c>
      <c r="C24" s="4" t="str">
        <f>"連宸緯"</f>
        <v>連宸緯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 t="s">
        <v>25</v>
      </c>
      <c r="Q24" s="6"/>
      <c r="R24" s="4">
        <v>1</v>
      </c>
    </row>
    <row r="25" spans="1:18" x14ac:dyDescent="0.4">
      <c r="A25" s="4" t="str">
        <f t="shared" si="0"/>
        <v>環境生物與漁業科學學系</v>
      </c>
      <c r="B25" s="4" t="str">
        <f>"00631023"</f>
        <v>00631023</v>
      </c>
      <c r="C25" s="4" t="str">
        <f>"吳俊宏"</f>
        <v>吳俊宏</v>
      </c>
      <c r="D25" s="6"/>
      <c r="E25" s="6"/>
      <c r="F25" s="6"/>
      <c r="G25" s="6"/>
      <c r="H25" s="6"/>
      <c r="I25" s="6"/>
      <c r="J25" s="6"/>
      <c r="K25" s="6"/>
      <c r="L25" s="6"/>
      <c r="M25" s="6" t="s">
        <v>25</v>
      </c>
      <c r="N25" s="6"/>
      <c r="O25" s="6"/>
      <c r="P25" s="6"/>
      <c r="Q25" s="6"/>
      <c r="R25" s="4">
        <v>1</v>
      </c>
    </row>
    <row r="26" spans="1:18" x14ac:dyDescent="0.4">
      <c r="A26" s="4" t="str">
        <f t="shared" si="0"/>
        <v>環境生物與漁業科學學系</v>
      </c>
      <c r="B26" s="4" t="str">
        <f>"00631024"</f>
        <v>00631024</v>
      </c>
      <c r="C26" s="4" t="str">
        <f>"李威"</f>
        <v>李威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4"/>
    </row>
    <row r="27" spans="1:18" x14ac:dyDescent="0.4">
      <c r="A27" s="4" t="str">
        <f t="shared" si="0"/>
        <v>環境生物與漁業科學學系</v>
      </c>
      <c r="B27" s="4" t="str">
        <f>"00631025"</f>
        <v>00631025</v>
      </c>
      <c r="C27" s="4" t="str">
        <f>"陳翔喻"</f>
        <v>陳翔喻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4"/>
    </row>
    <row r="28" spans="1:18" x14ac:dyDescent="0.4">
      <c r="A28" s="4" t="str">
        <f t="shared" si="0"/>
        <v>環境生物與漁業科學學系</v>
      </c>
      <c r="B28" s="4" t="str">
        <f>"00631026"</f>
        <v>00631026</v>
      </c>
      <c r="C28" s="4" t="str">
        <f>"葉軒豪"</f>
        <v>葉軒豪</v>
      </c>
      <c r="D28" s="6"/>
      <c r="E28" s="6"/>
      <c r="F28" s="6"/>
      <c r="G28" s="6"/>
      <c r="H28" s="6"/>
      <c r="I28" s="6"/>
      <c r="J28" s="6"/>
      <c r="K28" s="6"/>
      <c r="L28" s="6"/>
      <c r="M28" s="6" t="s">
        <v>25</v>
      </c>
      <c r="N28" s="6"/>
      <c r="O28" s="6"/>
      <c r="P28" s="6"/>
      <c r="Q28" s="6" t="s">
        <v>25</v>
      </c>
      <c r="R28" s="4">
        <v>2</v>
      </c>
    </row>
    <row r="29" spans="1:18" x14ac:dyDescent="0.4">
      <c r="A29" s="4" t="str">
        <f t="shared" si="0"/>
        <v>環境生物與漁業科學學系</v>
      </c>
      <c r="B29" s="4" t="str">
        <f>"00631027"</f>
        <v>00631027</v>
      </c>
      <c r="C29" s="4" t="str">
        <f>"李瑾柔"</f>
        <v>李瑾柔</v>
      </c>
      <c r="D29" s="6"/>
      <c r="E29" s="6"/>
      <c r="F29" s="6"/>
      <c r="G29" s="6"/>
      <c r="H29" s="6"/>
      <c r="I29" s="6"/>
      <c r="J29" s="6"/>
      <c r="K29" s="6"/>
      <c r="L29" s="6"/>
      <c r="M29" s="6" t="s">
        <v>25</v>
      </c>
      <c r="N29" s="6"/>
      <c r="O29" s="6"/>
      <c r="P29" s="6"/>
      <c r="Q29" s="6" t="s">
        <v>25</v>
      </c>
      <c r="R29" s="4">
        <v>2</v>
      </c>
    </row>
    <row r="30" spans="1:18" x14ac:dyDescent="0.4">
      <c r="A30" s="4" t="str">
        <f t="shared" si="0"/>
        <v>環境生物與漁業科學學系</v>
      </c>
      <c r="B30" s="4" t="str">
        <f>"00631028"</f>
        <v>00631028</v>
      </c>
      <c r="C30" s="4" t="str">
        <f>"陳家綺"</f>
        <v>陳家綺</v>
      </c>
      <c r="D30" s="6"/>
      <c r="E30" s="6"/>
      <c r="F30" s="6"/>
      <c r="G30" s="6"/>
      <c r="H30" s="6"/>
      <c r="I30" s="6"/>
      <c r="J30" s="6"/>
      <c r="K30" s="6"/>
      <c r="L30" s="6"/>
      <c r="M30" s="6" t="s">
        <v>25</v>
      </c>
      <c r="N30" s="6"/>
      <c r="O30" s="6"/>
      <c r="P30" s="6"/>
      <c r="Q30" s="6" t="s">
        <v>25</v>
      </c>
      <c r="R30" s="4">
        <v>2</v>
      </c>
    </row>
    <row r="31" spans="1:18" x14ac:dyDescent="0.4">
      <c r="A31" s="4" t="str">
        <f t="shared" si="0"/>
        <v>環境生物與漁業科學學系</v>
      </c>
      <c r="B31" s="4" t="str">
        <f>"00631029"</f>
        <v>00631029</v>
      </c>
      <c r="C31" s="4" t="str">
        <f>"郭佳臻"</f>
        <v>郭佳臻</v>
      </c>
      <c r="D31" s="6"/>
      <c r="E31" s="6"/>
      <c r="F31" s="6"/>
      <c r="G31" s="6"/>
      <c r="H31" s="6" t="s">
        <v>25</v>
      </c>
      <c r="I31" s="6"/>
      <c r="J31" s="6"/>
      <c r="K31" s="6"/>
      <c r="L31" s="6"/>
      <c r="M31" s="6" t="s">
        <v>25</v>
      </c>
      <c r="N31" s="6"/>
      <c r="O31" s="6"/>
      <c r="P31" s="6"/>
      <c r="Q31" s="6" t="s">
        <v>25</v>
      </c>
      <c r="R31" s="4">
        <v>3</v>
      </c>
    </row>
    <row r="32" spans="1:18" x14ac:dyDescent="0.4">
      <c r="A32" s="4" t="str">
        <f t="shared" si="0"/>
        <v>環境生物與漁業科學學系</v>
      </c>
      <c r="B32" s="4" t="str">
        <f>"00631030"</f>
        <v>00631030</v>
      </c>
      <c r="C32" s="4" t="str">
        <f>"林淳楷"</f>
        <v>林淳楷</v>
      </c>
      <c r="D32" s="6"/>
      <c r="E32" s="6"/>
      <c r="F32" s="6"/>
      <c r="G32" s="6"/>
      <c r="H32" s="6"/>
      <c r="I32" s="6"/>
      <c r="J32" s="6"/>
      <c r="K32" s="6"/>
      <c r="L32" s="6"/>
      <c r="M32" s="6" t="s">
        <v>25</v>
      </c>
      <c r="N32" s="6"/>
      <c r="O32" s="6"/>
      <c r="P32" s="6"/>
      <c r="Q32" s="6"/>
      <c r="R32" s="4">
        <v>1</v>
      </c>
    </row>
    <row r="33" spans="1:18" x14ac:dyDescent="0.4">
      <c r="A33" s="4" t="str">
        <f t="shared" si="0"/>
        <v>環境生物與漁業科學學系</v>
      </c>
      <c r="B33" s="4" t="str">
        <f>"00631031"</f>
        <v>00631031</v>
      </c>
      <c r="C33" s="4" t="str">
        <f>"王敏儒"</f>
        <v>王敏儒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4"/>
    </row>
    <row r="34" spans="1:18" x14ac:dyDescent="0.4">
      <c r="A34" s="4" t="str">
        <f t="shared" si="0"/>
        <v>環境生物與漁業科學學系</v>
      </c>
      <c r="B34" s="4" t="str">
        <f>"00631032"</f>
        <v>00631032</v>
      </c>
      <c r="C34" s="4" t="str">
        <f>"林品綸"</f>
        <v>林品綸</v>
      </c>
      <c r="D34" s="6"/>
      <c r="E34" s="6"/>
      <c r="F34" s="6"/>
      <c r="G34" s="6"/>
      <c r="H34" s="6"/>
      <c r="I34" s="6"/>
      <c r="J34" s="6"/>
      <c r="K34" s="6"/>
      <c r="L34" s="6"/>
      <c r="M34" s="6" t="s">
        <v>25</v>
      </c>
      <c r="N34" s="6"/>
      <c r="O34" s="6"/>
      <c r="P34" s="6"/>
      <c r="Q34" s="6"/>
      <c r="R34" s="4">
        <v>1</v>
      </c>
    </row>
    <row r="35" spans="1:18" x14ac:dyDescent="0.4">
      <c r="A35" s="4" t="str">
        <f t="shared" si="0"/>
        <v>環境生物與漁業科學學系</v>
      </c>
      <c r="B35" s="4" t="str">
        <f>"00631033"</f>
        <v>00631033</v>
      </c>
      <c r="C35" s="4" t="str">
        <f>"林萬軒"</f>
        <v>林萬軒</v>
      </c>
      <c r="D35" s="6"/>
      <c r="E35" s="6"/>
      <c r="F35" s="6"/>
      <c r="G35" s="6"/>
      <c r="H35" s="6"/>
      <c r="I35" s="6"/>
      <c r="J35" s="6"/>
      <c r="K35" s="6"/>
      <c r="L35" s="6"/>
      <c r="M35" s="6" t="s">
        <v>25</v>
      </c>
      <c r="N35" s="6"/>
      <c r="O35" s="6"/>
      <c r="P35" s="6"/>
      <c r="Q35" s="6"/>
      <c r="R35" s="4">
        <v>1</v>
      </c>
    </row>
    <row r="36" spans="1:18" x14ac:dyDescent="0.4">
      <c r="A36" s="4" t="str">
        <f t="shared" si="0"/>
        <v>環境生物與漁業科學學系</v>
      </c>
      <c r="B36" s="4" t="str">
        <f>"00631034"</f>
        <v>00631034</v>
      </c>
      <c r="C36" s="4" t="str">
        <f>"林宸熙"</f>
        <v>林宸熙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 t="s">
        <v>25</v>
      </c>
      <c r="Q36" s="6"/>
      <c r="R36" s="4">
        <v>1</v>
      </c>
    </row>
    <row r="37" spans="1:18" x14ac:dyDescent="0.4">
      <c r="A37" s="4" t="str">
        <f t="shared" si="0"/>
        <v>環境生物與漁業科學學系</v>
      </c>
      <c r="B37" s="4" t="str">
        <f>"00631035"</f>
        <v>00631035</v>
      </c>
      <c r="C37" s="4" t="str">
        <f>"黃郁心"</f>
        <v>黃郁心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4"/>
    </row>
    <row r="38" spans="1:18" x14ac:dyDescent="0.4">
      <c r="A38" s="4" t="str">
        <f t="shared" si="0"/>
        <v>環境生物與漁業科學學系</v>
      </c>
      <c r="B38" s="4" t="str">
        <f>"00631036"</f>
        <v>00631036</v>
      </c>
      <c r="C38" s="4" t="str">
        <f>"陳玟卉"</f>
        <v>陳玟卉</v>
      </c>
      <c r="D38" s="6"/>
      <c r="E38" s="6"/>
      <c r="F38" s="6"/>
      <c r="G38" s="6"/>
      <c r="H38" s="6"/>
      <c r="I38" s="6"/>
      <c r="J38" s="6"/>
      <c r="K38" s="6"/>
      <c r="L38" s="6"/>
      <c r="M38" s="6" t="s">
        <v>25</v>
      </c>
      <c r="N38" s="6"/>
      <c r="O38" s="6"/>
      <c r="P38" s="6"/>
      <c r="Q38" s="6" t="s">
        <v>25</v>
      </c>
      <c r="R38" s="4">
        <v>2</v>
      </c>
    </row>
    <row r="39" spans="1:18" x14ac:dyDescent="0.4">
      <c r="A39" s="4" t="str">
        <f t="shared" si="0"/>
        <v>環境生物與漁業科學學系</v>
      </c>
      <c r="B39" s="4" t="str">
        <f>"00631037"</f>
        <v>00631037</v>
      </c>
      <c r="C39" s="4" t="str">
        <f>"吳碩胤"</f>
        <v>吳碩胤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"/>
    </row>
    <row r="40" spans="1:18" x14ac:dyDescent="0.4">
      <c r="A40" s="4" t="str">
        <f t="shared" si="0"/>
        <v>環境生物與漁業科學學系</v>
      </c>
      <c r="B40" s="4" t="str">
        <f>"00631038"</f>
        <v>00631038</v>
      </c>
      <c r="C40" s="4" t="str">
        <f>"陳鈺儒"</f>
        <v>陳鈺儒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4"/>
    </row>
    <row r="41" spans="1:18" x14ac:dyDescent="0.4">
      <c r="A41" s="4" t="str">
        <f t="shared" si="0"/>
        <v>環境生物與漁業科學學系</v>
      </c>
      <c r="B41" s="4" t="str">
        <f>"00631039"</f>
        <v>00631039</v>
      </c>
      <c r="C41" s="4" t="str">
        <f>"李振齊"</f>
        <v>李振齊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4"/>
    </row>
    <row r="42" spans="1:18" x14ac:dyDescent="0.4">
      <c r="A42" s="4" t="str">
        <f t="shared" si="0"/>
        <v>環境生物與漁業科學學系</v>
      </c>
      <c r="B42" s="4" t="str">
        <f>"00631040"</f>
        <v>00631040</v>
      </c>
      <c r="C42" s="4" t="str">
        <f>"廖瑾亦"</f>
        <v>廖瑾亦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 t="s">
        <v>25</v>
      </c>
      <c r="O42" s="6"/>
      <c r="P42" s="6"/>
      <c r="Q42" s="6" t="s">
        <v>25</v>
      </c>
      <c r="R42" s="4">
        <v>2</v>
      </c>
    </row>
    <row r="43" spans="1:18" x14ac:dyDescent="0.4">
      <c r="A43" s="4" t="str">
        <f t="shared" si="0"/>
        <v>環境生物與漁業科學學系</v>
      </c>
      <c r="B43" s="4" t="str">
        <f>"00631041"</f>
        <v>00631041</v>
      </c>
      <c r="C43" s="4" t="str">
        <f>"陳冠宇"</f>
        <v>陳冠宇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4"/>
    </row>
    <row r="44" spans="1:18" x14ac:dyDescent="0.4">
      <c r="A44" s="4" t="str">
        <f t="shared" si="0"/>
        <v>環境生物與漁業科學學系</v>
      </c>
      <c r="B44" s="4" t="str">
        <f>"00631042"</f>
        <v>00631042</v>
      </c>
      <c r="C44" s="4" t="str">
        <f>"林冠宇"</f>
        <v>林冠宇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4"/>
    </row>
    <row r="45" spans="1:18" x14ac:dyDescent="0.4">
      <c r="A45" s="4" t="str">
        <f t="shared" si="0"/>
        <v>環境生物與漁業科學學系</v>
      </c>
      <c r="B45" s="4" t="str">
        <f>"00631043"</f>
        <v>00631043</v>
      </c>
      <c r="C45" s="4" t="str">
        <f>"高郁婷"</f>
        <v>高郁婷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4"/>
    </row>
    <row r="46" spans="1:18" x14ac:dyDescent="0.4">
      <c r="A46" s="4" t="str">
        <f t="shared" si="0"/>
        <v>環境生物與漁業科學學系</v>
      </c>
      <c r="B46" s="4" t="str">
        <f>"00631044"</f>
        <v>00631044</v>
      </c>
      <c r="C46" s="4" t="str">
        <f>"黃韋翔"</f>
        <v>黃韋翔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"/>
    </row>
    <row r="47" spans="1:18" x14ac:dyDescent="0.4">
      <c r="A47" s="4" t="str">
        <f t="shared" si="0"/>
        <v>環境生物與漁業科學學系</v>
      </c>
      <c r="B47" s="4" t="str">
        <f>"00631045"</f>
        <v>00631045</v>
      </c>
      <c r="C47" s="4" t="str">
        <f>"林佑俞"</f>
        <v>林佑俞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"/>
    </row>
    <row r="48" spans="1:18" x14ac:dyDescent="0.4">
      <c r="A48" s="4" t="s">
        <v>0</v>
      </c>
      <c r="B48" s="4" t="s">
        <v>1</v>
      </c>
      <c r="C48" s="4" t="s">
        <v>3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10</v>
      </c>
      <c r="K48" s="1" t="s">
        <v>18</v>
      </c>
      <c r="L48" s="2" t="s">
        <v>19</v>
      </c>
      <c r="M48" s="3" t="s">
        <v>20</v>
      </c>
      <c r="N48" s="3" t="s">
        <v>21</v>
      </c>
      <c r="O48" s="3" t="s">
        <v>22</v>
      </c>
      <c r="P48" s="3" t="s">
        <v>23</v>
      </c>
      <c r="Q48" s="3" t="s">
        <v>24</v>
      </c>
      <c r="R48" s="1" t="s">
        <v>11</v>
      </c>
    </row>
    <row r="49" spans="1:18" x14ac:dyDescent="0.4">
      <c r="A49" s="4" t="str">
        <f t="shared" si="0"/>
        <v>環境生物與漁業科學學系</v>
      </c>
      <c r="B49" s="4" t="str">
        <f>"00631046"</f>
        <v>00631046</v>
      </c>
      <c r="C49" s="4" t="str">
        <f>"黃讌婷"</f>
        <v>黃讌婷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4"/>
    </row>
    <row r="50" spans="1:18" x14ac:dyDescent="0.4">
      <c r="A50" s="4" t="str">
        <f t="shared" si="0"/>
        <v>環境生物與漁業科學學系</v>
      </c>
      <c r="B50" s="4" t="str">
        <f>"00631047"</f>
        <v>00631047</v>
      </c>
      <c r="C50" s="4" t="str">
        <f>"林鈺翎"</f>
        <v>林鈺翎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4"/>
    </row>
    <row r="51" spans="1:18" x14ac:dyDescent="0.4">
      <c r="A51" s="4" t="str">
        <f t="shared" si="0"/>
        <v>環境生物與漁業科學學系</v>
      </c>
      <c r="B51" s="4" t="str">
        <f>"00631048"</f>
        <v>00631048</v>
      </c>
      <c r="C51" s="4" t="str">
        <f>"闕浩宇"</f>
        <v>闕浩宇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4"/>
    </row>
    <row r="52" spans="1:18" x14ac:dyDescent="0.4">
      <c r="A52" s="4" t="str">
        <f t="shared" si="0"/>
        <v>環境生物與漁業科學學系</v>
      </c>
      <c r="B52" s="4" t="str">
        <f>"00631049"</f>
        <v>00631049</v>
      </c>
      <c r="C52" s="4" t="str">
        <f>"陳宜溱"</f>
        <v>陳宜溱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4"/>
    </row>
    <row r="53" spans="1:18" x14ac:dyDescent="0.4">
      <c r="A53" s="4" t="str">
        <f t="shared" si="0"/>
        <v>環境生物與漁業科學學系</v>
      </c>
      <c r="B53" s="4" t="str">
        <f>"00631050"</f>
        <v>00631050</v>
      </c>
      <c r="C53" s="4" t="str">
        <f>"陶萱軒"</f>
        <v>陶萱軒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4"/>
    </row>
    <row r="54" spans="1:18" x14ac:dyDescent="0.4">
      <c r="A54" s="4" t="str">
        <f t="shared" si="0"/>
        <v>環境生物與漁業科學學系</v>
      </c>
      <c r="B54" s="4" t="str">
        <f>"00631053"</f>
        <v>00631053</v>
      </c>
      <c r="C54" s="4" t="str">
        <f>"何梓烽"</f>
        <v>何梓烽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4"/>
    </row>
    <row r="55" spans="1:18" x14ac:dyDescent="0.4">
      <c r="A55" s="4" t="str">
        <f t="shared" si="0"/>
        <v>環境生物與漁業科學學系</v>
      </c>
      <c r="B55" s="4" t="str">
        <f>"00631054"</f>
        <v>00631054</v>
      </c>
      <c r="C55" s="4" t="str">
        <f>"鐘啟懷"</f>
        <v>鐘啟懷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4"/>
    </row>
    <row r="56" spans="1:18" x14ac:dyDescent="0.4">
      <c r="A56" s="4" t="str">
        <f t="shared" ref="A56:A110" si="1">"海洋環境資訊系"</f>
        <v>海洋環境資訊系</v>
      </c>
      <c r="B56" s="4" t="str">
        <f>"00681001"</f>
        <v>00681001</v>
      </c>
      <c r="C56" s="4" t="str">
        <f>"周昱霖"</f>
        <v>周昱霖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4"/>
    </row>
    <row r="57" spans="1:18" x14ac:dyDescent="0.4">
      <c r="A57" s="4" t="str">
        <f t="shared" si="1"/>
        <v>海洋環境資訊系</v>
      </c>
      <c r="B57" s="4" t="str">
        <f>"00681002"</f>
        <v>00681002</v>
      </c>
      <c r="C57" s="4" t="str">
        <f>"陳天富"</f>
        <v>陳天富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4"/>
    </row>
    <row r="58" spans="1:18" x14ac:dyDescent="0.4">
      <c r="A58" s="4" t="str">
        <f t="shared" si="1"/>
        <v>海洋環境資訊系</v>
      </c>
      <c r="B58" s="4" t="str">
        <f>"00681003"</f>
        <v>00681003</v>
      </c>
      <c r="C58" s="4" t="str">
        <f>"劉蕙慈"</f>
        <v>劉蕙慈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 t="s">
        <v>25</v>
      </c>
      <c r="P58" s="6"/>
      <c r="Q58" s="6"/>
      <c r="R58" s="4">
        <v>1</v>
      </c>
    </row>
    <row r="59" spans="1:18" x14ac:dyDescent="0.4">
      <c r="A59" s="4" t="str">
        <f t="shared" si="1"/>
        <v>海洋環境資訊系</v>
      </c>
      <c r="B59" s="4" t="str">
        <f>"00681004"</f>
        <v>00681004</v>
      </c>
      <c r="C59" s="4" t="str">
        <f>"廖國翔"</f>
        <v>廖國翔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4"/>
    </row>
    <row r="60" spans="1:18" x14ac:dyDescent="0.4">
      <c r="A60" s="4" t="str">
        <f t="shared" si="1"/>
        <v>海洋環境資訊系</v>
      </c>
      <c r="B60" s="4" t="str">
        <f>"00681005"</f>
        <v>00681005</v>
      </c>
      <c r="C60" s="4" t="str">
        <f>"簡嫚萱"</f>
        <v>簡嫚萱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4"/>
    </row>
    <row r="61" spans="1:18" x14ac:dyDescent="0.4">
      <c r="A61" s="4" t="str">
        <f t="shared" si="1"/>
        <v>海洋環境資訊系</v>
      </c>
      <c r="B61" s="4" t="str">
        <f>"00681006"</f>
        <v>00681006</v>
      </c>
      <c r="C61" s="4" t="str">
        <f>"吳襄履"</f>
        <v>吳襄履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 t="s">
        <v>25</v>
      </c>
      <c r="P61" s="6"/>
      <c r="Q61" s="6"/>
      <c r="R61" s="4">
        <v>1</v>
      </c>
    </row>
    <row r="62" spans="1:18" x14ac:dyDescent="0.4">
      <c r="A62" s="4" t="str">
        <f t="shared" si="1"/>
        <v>海洋環境資訊系</v>
      </c>
      <c r="B62" s="4" t="str">
        <f>"00681007"</f>
        <v>00681007</v>
      </c>
      <c r="C62" s="4" t="str">
        <f>"徐明飛"</f>
        <v>徐明飛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4"/>
    </row>
    <row r="63" spans="1:18" x14ac:dyDescent="0.4">
      <c r="A63" s="4" t="str">
        <f t="shared" si="1"/>
        <v>海洋環境資訊系</v>
      </c>
      <c r="B63" s="4" t="str">
        <f>"00681008"</f>
        <v>00681008</v>
      </c>
      <c r="C63" s="4" t="str">
        <f>"吳維常"</f>
        <v>吳維常</v>
      </c>
      <c r="D63" s="6"/>
      <c r="E63" s="6"/>
      <c r="F63" s="6"/>
      <c r="G63" s="6"/>
      <c r="H63" s="6"/>
      <c r="I63" s="6"/>
      <c r="J63" s="6"/>
      <c r="K63" s="6"/>
      <c r="L63" s="6"/>
      <c r="M63" s="6" t="s">
        <v>25</v>
      </c>
      <c r="N63" s="6"/>
      <c r="O63" s="6"/>
      <c r="P63" s="6"/>
      <c r="Q63" s="6" t="s">
        <v>25</v>
      </c>
      <c r="R63" s="4">
        <v>2</v>
      </c>
    </row>
    <row r="64" spans="1:18" x14ac:dyDescent="0.4">
      <c r="A64" s="4" t="str">
        <f t="shared" si="1"/>
        <v>海洋環境資訊系</v>
      </c>
      <c r="B64" s="4" t="str">
        <f>"00681009"</f>
        <v>00681009</v>
      </c>
      <c r="C64" s="4" t="str">
        <f>"李重諺"</f>
        <v>李重諺</v>
      </c>
      <c r="D64" s="6"/>
      <c r="E64" s="6"/>
      <c r="F64" s="6"/>
      <c r="G64" s="6"/>
      <c r="H64" s="6"/>
      <c r="I64" s="6"/>
      <c r="J64" s="6"/>
      <c r="K64" s="6"/>
      <c r="L64" s="6"/>
      <c r="M64" s="6" t="s">
        <v>25</v>
      </c>
      <c r="N64" s="6"/>
      <c r="O64" s="6"/>
      <c r="P64" s="6"/>
      <c r="Q64" s="6"/>
      <c r="R64" s="4">
        <v>1</v>
      </c>
    </row>
    <row r="65" spans="1:18" x14ac:dyDescent="0.4">
      <c r="A65" s="4" t="str">
        <f t="shared" si="1"/>
        <v>海洋環境資訊系</v>
      </c>
      <c r="B65" s="4" t="str">
        <f>"00681010"</f>
        <v>00681010</v>
      </c>
      <c r="C65" s="4" t="str">
        <f>"關兆倫"</f>
        <v>關兆倫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4"/>
    </row>
    <row r="66" spans="1:18" x14ac:dyDescent="0.4">
      <c r="A66" s="4" t="str">
        <f t="shared" si="1"/>
        <v>海洋環境資訊系</v>
      </c>
      <c r="B66" s="4" t="str">
        <f>"00681011"</f>
        <v>00681011</v>
      </c>
      <c r="C66" s="4" t="str">
        <f>"何真珍"</f>
        <v>何真珍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 t="s">
        <v>25</v>
      </c>
      <c r="P66" s="6"/>
      <c r="Q66" s="6"/>
      <c r="R66" s="4">
        <v>1</v>
      </c>
    </row>
    <row r="67" spans="1:18" x14ac:dyDescent="0.4">
      <c r="A67" s="4" t="str">
        <f t="shared" si="1"/>
        <v>海洋環境資訊系</v>
      </c>
      <c r="B67" s="4" t="str">
        <f>"00681012"</f>
        <v>00681012</v>
      </c>
      <c r="C67" s="4" t="str">
        <f>"曾美茵"</f>
        <v>曾美茵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4"/>
    </row>
    <row r="68" spans="1:18" x14ac:dyDescent="0.4">
      <c r="A68" s="4" t="str">
        <f t="shared" si="1"/>
        <v>海洋環境資訊系</v>
      </c>
      <c r="B68" s="4" t="str">
        <f>"00681013"</f>
        <v>00681013</v>
      </c>
      <c r="C68" s="4" t="str">
        <f>"龍禮聖"</f>
        <v>龍禮聖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4"/>
    </row>
    <row r="69" spans="1:18" x14ac:dyDescent="0.4">
      <c r="A69" s="4" t="str">
        <f t="shared" si="1"/>
        <v>海洋環境資訊系</v>
      </c>
      <c r="B69" s="4" t="str">
        <f>"00681014"</f>
        <v>00681014</v>
      </c>
      <c r="C69" s="4" t="str">
        <f>"柳皓升"</f>
        <v>柳皓升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4"/>
    </row>
    <row r="70" spans="1:18" x14ac:dyDescent="0.4">
      <c r="A70" s="4" t="str">
        <f t="shared" si="1"/>
        <v>海洋環境資訊系</v>
      </c>
      <c r="B70" s="4" t="str">
        <f>"00681015"</f>
        <v>00681015</v>
      </c>
      <c r="C70" s="4" t="str">
        <f>"陳宜璟"</f>
        <v>陳宜璟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4"/>
    </row>
    <row r="71" spans="1:18" x14ac:dyDescent="0.4">
      <c r="A71" s="4" t="str">
        <f t="shared" si="1"/>
        <v>海洋環境資訊系</v>
      </c>
      <c r="B71" s="4" t="str">
        <f>"00681016"</f>
        <v>00681016</v>
      </c>
      <c r="C71" s="4" t="str">
        <f>"薛丞志"</f>
        <v>薛丞志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4"/>
    </row>
    <row r="72" spans="1:18" x14ac:dyDescent="0.4">
      <c r="A72" s="4" t="str">
        <f t="shared" si="1"/>
        <v>海洋環境資訊系</v>
      </c>
      <c r="B72" s="4" t="str">
        <f>"00681017"</f>
        <v>00681017</v>
      </c>
      <c r="C72" s="4" t="str">
        <f>"吳欣茹"</f>
        <v>吳欣茹</v>
      </c>
      <c r="D72" s="6"/>
      <c r="E72" s="6"/>
      <c r="F72" s="6"/>
      <c r="G72" s="6"/>
      <c r="H72" s="6"/>
      <c r="I72" s="6"/>
      <c r="J72" s="6"/>
      <c r="K72" s="6"/>
      <c r="L72" s="6"/>
      <c r="M72" s="6" t="s">
        <v>25</v>
      </c>
      <c r="N72" s="6"/>
      <c r="O72" s="6" t="s">
        <v>25</v>
      </c>
      <c r="P72" s="6"/>
      <c r="Q72" s="6"/>
      <c r="R72" s="4">
        <v>2</v>
      </c>
    </row>
    <row r="73" spans="1:18" x14ac:dyDescent="0.4">
      <c r="A73" s="4" t="str">
        <f t="shared" si="1"/>
        <v>海洋環境資訊系</v>
      </c>
      <c r="B73" s="4" t="str">
        <f>"00681018"</f>
        <v>00681018</v>
      </c>
      <c r="C73" s="4" t="str">
        <f>"林子弼"</f>
        <v>林子弼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4"/>
    </row>
    <row r="74" spans="1:18" x14ac:dyDescent="0.4">
      <c r="A74" s="4" t="str">
        <f t="shared" si="1"/>
        <v>海洋環境資訊系</v>
      </c>
      <c r="B74" s="4" t="str">
        <f>"00681019"</f>
        <v>00681019</v>
      </c>
      <c r="C74" s="4" t="str">
        <f>"陳品心"</f>
        <v>陳品心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 t="s">
        <v>25</v>
      </c>
      <c r="P74" s="6"/>
      <c r="Q74" s="6"/>
      <c r="R74" s="4">
        <v>1</v>
      </c>
    </row>
    <row r="75" spans="1:18" x14ac:dyDescent="0.4">
      <c r="A75" s="4" t="str">
        <f t="shared" si="1"/>
        <v>海洋環境資訊系</v>
      </c>
      <c r="B75" s="4" t="str">
        <f>"00681020"</f>
        <v>00681020</v>
      </c>
      <c r="C75" s="4" t="str">
        <f>"吳建暘"</f>
        <v>吳建暘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4"/>
    </row>
    <row r="76" spans="1:18" x14ac:dyDescent="0.4">
      <c r="A76" s="4" t="str">
        <f t="shared" si="1"/>
        <v>海洋環境資訊系</v>
      </c>
      <c r="B76" s="4" t="str">
        <f>"00681021"</f>
        <v>00681021</v>
      </c>
      <c r="C76" s="4" t="str">
        <f>"林溦蓁"</f>
        <v>林溦蓁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4"/>
    </row>
    <row r="77" spans="1:18" x14ac:dyDescent="0.4">
      <c r="A77" s="4" t="str">
        <f t="shared" si="1"/>
        <v>海洋環境資訊系</v>
      </c>
      <c r="B77" s="4" t="str">
        <f>"00681022"</f>
        <v>00681022</v>
      </c>
      <c r="C77" s="4" t="str">
        <f>"吳少白"</f>
        <v>吳少白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 t="s">
        <v>25</v>
      </c>
      <c r="P77" s="6"/>
      <c r="Q77" s="6"/>
      <c r="R77" s="4">
        <v>1</v>
      </c>
    </row>
    <row r="78" spans="1:18" x14ac:dyDescent="0.4">
      <c r="A78" s="4" t="str">
        <f t="shared" si="1"/>
        <v>海洋環境資訊系</v>
      </c>
      <c r="B78" s="4" t="str">
        <f>"00681023"</f>
        <v>00681023</v>
      </c>
      <c r="C78" s="4" t="str">
        <f>"林嘉瀚"</f>
        <v>林嘉瀚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4"/>
    </row>
    <row r="79" spans="1:18" x14ac:dyDescent="0.4">
      <c r="A79" s="4" t="str">
        <f t="shared" si="1"/>
        <v>海洋環境資訊系</v>
      </c>
      <c r="B79" s="4" t="str">
        <f>"00681024"</f>
        <v>00681024</v>
      </c>
      <c r="C79" s="4" t="str">
        <f>"吳淳如"</f>
        <v>吳淳如</v>
      </c>
      <c r="D79" s="6"/>
      <c r="E79" s="6"/>
      <c r="F79" s="6"/>
      <c r="G79" s="6"/>
      <c r="H79" s="6"/>
      <c r="I79" s="6"/>
      <c r="J79" s="6"/>
      <c r="K79" s="6"/>
      <c r="L79" s="6"/>
      <c r="M79" s="6" t="s">
        <v>25</v>
      </c>
      <c r="N79" s="6"/>
      <c r="O79" s="6" t="s">
        <v>25</v>
      </c>
      <c r="P79" s="6"/>
      <c r="Q79" s="6"/>
      <c r="R79" s="4">
        <v>2</v>
      </c>
    </row>
    <row r="80" spans="1:18" x14ac:dyDescent="0.4">
      <c r="A80" s="4" t="str">
        <f t="shared" si="1"/>
        <v>海洋環境資訊系</v>
      </c>
      <c r="B80" s="4" t="str">
        <f>"00681025"</f>
        <v>00681025</v>
      </c>
      <c r="C80" s="4" t="str">
        <f>"許逸翔"</f>
        <v>許逸翔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4"/>
    </row>
    <row r="81" spans="1:18" x14ac:dyDescent="0.4">
      <c r="A81" s="4" t="str">
        <f t="shared" si="1"/>
        <v>海洋環境資訊系</v>
      </c>
      <c r="B81" s="4" t="str">
        <f>"00681026"</f>
        <v>00681026</v>
      </c>
      <c r="C81" s="4" t="str">
        <f>"吳承翰"</f>
        <v>吳承翰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4"/>
    </row>
    <row r="82" spans="1:18" x14ac:dyDescent="0.4">
      <c r="A82" s="4" t="str">
        <f t="shared" si="1"/>
        <v>海洋環境資訊系</v>
      </c>
      <c r="B82" s="4" t="str">
        <f>"00681027"</f>
        <v>00681027</v>
      </c>
      <c r="C82" s="4" t="str">
        <f>"吳庭葦"</f>
        <v>吳庭葦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4"/>
    </row>
    <row r="83" spans="1:18" x14ac:dyDescent="0.4">
      <c r="A83" s="4" t="str">
        <f t="shared" si="1"/>
        <v>海洋環境資訊系</v>
      </c>
      <c r="B83" s="4" t="str">
        <f>"00681028"</f>
        <v>00681028</v>
      </c>
      <c r="C83" s="4" t="str">
        <f>"余岱鈞"</f>
        <v>余岱鈞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4"/>
    </row>
    <row r="84" spans="1:18" x14ac:dyDescent="0.4">
      <c r="A84" s="4" t="str">
        <f t="shared" si="1"/>
        <v>海洋環境資訊系</v>
      </c>
      <c r="B84" s="4" t="str">
        <f>"00681029"</f>
        <v>00681029</v>
      </c>
      <c r="C84" s="4" t="str">
        <f>"陳泓瑋"</f>
        <v>陳泓瑋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4"/>
    </row>
    <row r="85" spans="1:18" x14ac:dyDescent="0.4">
      <c r="A85" s="4" t="str">
        <f t="shared" si="1"/>
        <v>海洋環境資訊系</v>
      </c>
      <c r="B85" s="4" t="str">
        <f>"00681030"</f>
        <v>00681030</v>
      </c>
      <c r="C85" s="4" t="str">
        <f>"潘彥辰"</f>
        <v>潘彥辰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4"/>
    </row>
    <row r="86" spans="1:18" x14ac:dyDescent="0.4">
      <c r="A86" s="4" t="str">
        <f t="shared" si="1"/>
        <v>海洋環境資訊系</v>
      </c>
      <c r="B86" s="4" t="str">
        <f>"00681031"</f>
        <v>00681031</v>
      </c>
      <c r="C86" s="4" t="str">
        <f>"蔡慶暉"</f>
        <v>蔡慶暉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4"/>
    </row>
    <row r="87" spans="1:18" x14ac:dyDescent="0.4">
      <c r="A87" s="4" t="str">
        <f t="shared" si="1"/>
        <v>海洋環境資訊系</v>
      </c>
      <c r="B87" s="4" t="str">
        <f>"00681032"</f>
        <v>00681032</v>
      </c>
      <c r="C87" s="4" t="str">
        <f>"柳昀淵"</f>
        <v>柳昀淵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4"/>
    </row>
    <row r="88" spans="1:18" x14ac:dyDescent="0.4">
      <c r="A88" s="4" t="str">
        <f t="shared" si="1"/>
        <v>海洋環境資訊系</v>
      </c>
      <c r="B88" s="4" t="str">
        <f>"00681033"</f>
        <v>00681033</v>
      </c>
      <c r="C88" s="4" t="str">
        <f>"陳冠廷"</f>
        <v>陳冠廷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4"/>
    </row>
    <row r="89" spans="1:18" x14ac:dyDescent="0.4">
      <c r="A89" s="4" t="str">
        <f t="shared" si="1"/>
        <v>海洋環境資訊系</v>
      </c>
      <c r="B89" s="4" t="str">
        <f>"00681034"</f>
        <v>00681034</v>
      </c>
      <c r="C89" s="4" t="str">
        <f>"紀鈞?"</f>
        <v>紀鈞?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4"/>
    </row>
    <row r="90" spans="1:18" x14ac:dyDescent="0.4">
      <c r="A90" s="4" t="str">
        <f t="shared" si="1"/>
        <v>海洋環境資訊系</v>
      </c>
      <c r="B90" s="4" t="str">
        <f>"00681035"</f>
        <v>00681035</v>
      </c>
      <c r="C90" s="4" t="str">
        <f>"陳立祜"</f>
        <v>陳立祜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4"/>
    </row>
    <row r="91" spans="1:18" x14ac:dyDescent="0.4">
      <c r="A91" s="4" t="str">
        <f t="shared" si="1"/>
        <v>海洋環境資訊系</v>
      </c>
      <c r="B91" s="4" t="str">
        <f>"00681036"</f>
        <v>00681036</v>
      </c>
      <c r="C91" s="4" t="str">
        <f>"林家閎"</f>
        <v>林家閎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4"/>
    </row>
    <row r="92" spans="1:18" x14ac:dyDescent="0.4">
      <c r="A92" s="4" t="str">
        <f t="shared" si="1"/>
        <v>海洋環境資訊系</v>
      </c>
      <c r="B92" s="4" t="str">
        <f>"00681037"</f>
        <v>00681037</v>
      </c>
      <c r="C92" s="4" t="str">
        <f>"黃國宇"</f>
        <v>黃國宇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4"/>
    </row>
    <row r="93" spans="1:18" x14ac:dyDescent="0.4">
      <c r="A93" s="4" t="str">
        <f t="shared" si="1"/>
        <v>海洋環境資訊系</v>
      </c>
      <c r="B93" s="4" t="str">
        <f>"00681038"</f>
        <v>00681038</v>
      </c>
      <c r="C93" s="4" t="str">
        <f>"邱建凱"</f>
        <v>邱建凱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4"/>
    </row>
    <row r="94" spans="1:18" x14ac:dyDescent="0.4">
      <c r="A94" s="4" t="str">
        <f t="shared" si="1"/>
        <v>海洋環境資訊系</v>
      </c>
      <c r="B94" s="4" t="str">
        <f>"00681039"</f>
        <v>00681039</v>
      </c>
      <c r="C94" s="4" t="str">
        <f>"張晏誠"</f>
        <v>張晏誠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4"/>
    </row>
    <row r="95" spans="1:18" x14ac:dyDescent="0.4">
      <c r="A95" s="4" t="s">
        <v>0</v>
      </c>
      <c r="B95" s="4" t="s">
        <v>1</v>
      </c>
      <c r="C95" s="4" t="s">
        <v>3</v>
      </c>
      <c r="D95" s="1" t="s">
        <v>12</v>
      </c>
      <c r="E95" s="1" t="s">
        <v>13</v>
      </c>
      <c r="F95" s="1" t="s">
        <v>14</v>
      </c>
      <c r="G95" s="1" t="s">
        <v>15</v>
      </c>
      <c r="H95" s="1" t="s">
        <v>16</v>
      </c>
      <c r="I95" s="1" t="s">
        <v>17</v>
      </c>
      <c r="J95" s="1" t="s">
        <v>10</v>
      </c>
      <c r="K95" s="1" t="s">
        <v>18</v>
      </c>
      <c r="L95" s="2" t="s">
        <v>19</v>
      </c>
      <c r="M95" s="3" t="s">
        <v>20</v>
      </c>
      <c r="N95" s="3" t="s">
        <v>21</v>
      </c>
      <c r="O95" s="3" t="s">
        <v>22</v>
      </c>
      <c r="P95" s="3" t="s">
        <v>23</v>
      </c>
      <c r="Q95" s="3" t="s">
        <v>24</v>
      </c>
      <c r="R95" s="1" t="s">
        <v>11</v>
      </c>
    </row>
    <row r="96" spans="1:18" x14ac:dyDescent="0.4">
      <c r="A96" s="4" t="str">
        <f t="shared" si="1"/>
        <v>海洋環境資訊系</v>
      </c>
      <c r="B96" s="4" t="str">
        <f>"00681040"</f>
        <v>00681040</v>
      </c>
      <c r="C96" s="4" t="str">
        <f>"廖育霆"</f>
        <v>廖育霆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4"/>
    </row>
    <row r="97" spans="1:18" x14ac:dyDescent="0.4">
      <c r="A97" s="4" t="str">
        <f t="shared" si="1"/>
        <v>海洋環境資訊系</v>
      </c>
      <c r="B97" s="4" t="str">
        <f>"00681041"</f>
        <v>00681041</v>
      </c>
      <c r="C97" s="4" t="str">
        <f>"林欣怡"</f>
        <v>林欣怡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 t="s">
        <v>25</v>
      </c>
      <c r="P97" s="6"/>
      <c r="Q97" s="6"/>
      <c r="R97" s="4">
        <v>1</v>
      </c>
    </row>
    <row r="98" spans="1:18" x14ac:dyDescent="0.4">
      <c r="A98" s="4" t="str">
        <f t="shared" si="1"/>
        <v>海洋環境資訊系</v>
      </c>
      <c r="B98" s="4" t="str">
        <f>"00681042"</f>
        <v>00681042</v>
      </c>
      <c r="C98" s="4" t="str">
        <f>"鄭至榮"</f>
        <v>鄭至榮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4"/>
    </row>
    <row r="99" spans="1:18" x14ac:dyDescent="0.4">
      <c r="A99" s="4" t="str">
        <f t="shared" si="1"/>
        <v>海洋環境資訊系</v>
      </c>
      <c r="B99" s="4" t="str">
        <f>"00681043"</f>
        <v>00681043</v>
      </c>
      <c r="C99" s="4" t="str">
        <f>"陳彥樺"</f>
        <v>陳彥樺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 t="s">
        <v>25</v>
      </c>
      <c r="R99" s="4">
        <v>1</v>
      </c>
    </row>
    <row r="100" spans="1:18" x14ac:dyDescent="0.4">
      <c r="A100" s="4" t="str">
        <f t="shared" si="1"/>
        <v>海洋環境資訊系</v>
      </c>
      <c r="B100" s="4" t="str">
        <f>"00681044"</f>
        <v>00681044</v>
      </c>
      <c r="C100" s="4" t="str">
        <f>"卓冠霖"</f>
        <v>卓冠霖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4"/>
    </row>
    <row r="101" spans="1:18" x14ac:dyDescent="0.4">
      <c r="A101" s="4" t="str">
        <f t="shared" si="1"/>
        <v>海洋環境資訊系</v>
      </c>
      <c r="B101" s="4" t="str">
        <f>"00681045"</f>
        <v>00681045</v>
      </c>
      <c r="C101" s="4" t="str">
        <f>"曾宇揚"</f>
        <v>曾宇揚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4"/>
    </row>
    <row r="102" spans="1:18" x14ac:dyDescent="0.4">
      <c r="A102" s="4" t="str">
        <f t="shared" si="1"/>
        <v>海洋環境資訊系</v>
      </c>
      <c r="B102" s="4" t="str">
        <f>"00681046"</f>
        <v>00681046</v>
      </c>
      <c r="C102" s="4" t="str">
        <f>"許家瑋"</f>
        <v>許家瑋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4"/>
    </row>
    <row r="103" spans="1:18" x14ac:dyDescent="0.4">
      <c r="A103" s="4" t="str">
        <f t="shared" si="1"/>
        <v>海洋環境資訊系</v>
      </c>
      <c r="B103" s="4" t="str">
        <f>"00681047"</f>
        <v>00681047</v>
      </c>
      <c r="C103" s="4" t="str">
        <f>"黃筱筑"</f>
        <v>黃筱筑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4"/>
    </row>
    <row r="104" spans="1:18" x14ac:dyDescent="0.4">
      <c r="A104" s="4" t="str">
        <f t="shared" si="1"/>
        <v>海洋環境資訊系</v>
      </c>
      <c r="B104" s="4" t="str">
        <f>"00681048"</f>
        <v>00681048</v>
      </c>
      <c r="C104" s="4" t="str">
        <f>"林佳嫻"</f>
        <v>林佳嫻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4"/>
    </row>
    <row r="105" spans="1:18" x14ac:dyDescent="0.4">
      <c r="A105" s="4" t="str">
        <f t="shared" si="1"/>
        <v>海洋環境資訊系</v>
      </c>
      <c r="B105" s="4" t="str">
        <f>"00681050"</f>
        <v>00681050</v>
      </c>
      <c r="C105" s="4" t="str">
        <f>"林卉羚"</f>
        <v>林卉羚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4"/>
    </row>
    <row r="106" spans="1:18" x14ac:dyDescent="0.4">
      <c r="A106" s="4" t="str">
        <f t="shared" si="1"/>
        <v>海洋環境資訊系</v>
      </c>
      <c r="B106" s="4" t="str">
        <f>"00681051"</f>
        <v>00681051</v>
      </c>
      <c r="C106" s="4" t="str">
        <f>"蘇崇裕"</f>
        <v>蘇崇裕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4"/>
    </row>
    <row r="107" spans="1:18" x14ac:dyDescent="0.4">
      <c r="A107" s="4" t="str">
        <f t="shared" si="1"/>
        <v>海洋環境資訊系</v>
      </c>
      <c r="B107" s="4" t="str">
        <f>"00681052"</f>
        <v>00681052</v>
      </c>
      <c r="C107" s="4" t="str">
        <f>"羅俊傑"</f>
        <v>羅俊傑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4"/>
    </row>
    <row r="108" spans="1:18" x14ac:dyDescent="0.4">
      <c r="A108" s="4" t="str">
        <f t="shared" si="1"/>
        <v>海洋環境資訊系</v>
      </c>
      <c r="B108" s="4" t="str">
        <f>"00681053"</f>
        <v>00681053</v>
      </c>
      <c r="C108" s="4" t="str">
        <f>"王廷瑄"</f>
        <v>王廷瑄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4"/>
    </row>
    <row r="109" spans="1:18" x14ac:dyDescent="0.4">
      <c r="A109" s="4" t="str">
        <f t="shared" si="1"/>
        <v>海洋環境資訊系</v>
      </c>
      <c r="B109" s="4" t="str">
        <f>"00681054"</f>
        <v>00681054</v>
      </c>
      <c r="C109" s="4" t="str">
        <f>"蘇育德"</f>
        <v>蘇育德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4"/>
    </row>
    <row r="110" spans="1:18" x14ac:dyDescent="0.4">
      <c r="A110" s="4" t="str">
        <f t="shared" si="1"/>
        <v>海洋環境資訊系</v>
      </c>
      <c r="B110" s="4" t="str">
        <f>"00681055"</f>
        <v>00681055</v>
      </c>
      <c r="C110" s="4" t="str">
        <f>"邱昭銘"</f>
        <v>邱昭銘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4"/>
    </row>
    <row r="111" spans="1:18" x14ac:dyDescent="0.4">
      <c r="A111" s="4"/>
      <c r="B111" s="4" t="str">
        <f>"00531201"</f>
        <v>00531201</v>
      </c>
      <c r="C111" s="4" t="s">
        <v>31</v>
      </c>
      <c r="D111" s="6" t="s">
        <v>25</v>
      </c>
      <c r="E111" s="6"/>
      <c r="F111" s="6"/>
      <c r="G111" s="6"/>
      <c r="H111" s="6"/>
      <c r="I111" s="6"/>
      <c r="J111" s="6"/>
      <c r="K111" s="6"/>
      <c r="L111" s="6"/>
      <c r="M111" s="6"/>
      <c r="N111" s="6" t="s">
        <v>25</v>
      </c>
      <c r="O111" s="6" t="s">
        <v>25</v>
      </c>
      <c r="P111" s="6"/>
      <c r="Q111" s="6" t="s">
        <v>25</v>
      </c>
      <c r="R111" s="4">
        <v>4</v>
      </c>
    </row>
    <row r="112" spans="1:18" x14ac:dyDescent="0.4">
      <c r="A112" s="4"/>
      <c r="B112" s="4" t="str">
        <f>"00531205"</f>
        <v>00531205</v>
      </c>
      <c r="C112" s="4" t="s">
        <v>32</v>
      </c>
      <c r="D112" s="6" t="s">
        <v>25</v>
      </c>
      <c r="E112" s="6" t="s">
        <v>25</v>
      </c>
      <c r="F112" s="6"/>
      <c r="G112" s="6"/>
      <c r="H112" s="6"/>
      <c r="I112" s="6" t="s">
        <v>25</v>
      </c>
      <c r="J112" s="6"/>
      <c r="K112" s="6"/>
      <c r="L112" s="6"/>
      <c r="M112" s="6" t="s">
        <v>25</v>
      </c>
      <c r="N112" s="6" t="s">
        <v>25</v>
      </c>
      <c r="O112" s="6"/>
      <c r="P112" s="6"/>
      <c r="Q112" s="6" t="s">
        <v>25</v>
      </c>
      <c r="R112" s="4">
        <v>6</v>
      </c>
    </row>
    <row r="113" spans="1:18" x14ac:dyDescent="0.4">
      <c r="A113" s="4"/>
      <c r="B113" s="4" t="str">
        <f>"00531239"</f>
        <v>00531239</v>
      </c>
      <c r="C113" s="4" t="s">
        <v>33</v>
      </c>
      <c r="D113" s="6" t="s">
        <v>25</v>
      </c>
      <c r="E113" s="6" t="s">
        <v>25</v>
      </c>
      <c r="F113" s="6"/>
      <c r="G113" s="6"/>
      <c r="H113" s="6"/>
      <c r="I113" s="6" t="s">
        <v>25</v>
      </c>
      <c r="J113" s="6"/>
      <c r="K113" s="6"/>
      <c r="L113" s="6"/>
      <c r="M113" s="6"/>
      <c r="N113" s="6"/>
      <c r="O113" s="6"/>
      <c r="P113" s="6"/>
      <c r="Q113" s="6"/>
      <c r="R113" s="4">
        <v>3</v>
      </c>
    </row>
    <row r="114" spans="1:18" x14ac:dyDescent="0.4">
      <c r="A114" s="4"/>
      <c r="B114" s="4" t="str">
        <f>"00631202"</f>
        <v>00631202</v>
      </c>
      <c r="C114" s="4" t="s">
        <v>34</v>
      </c>
      <c r="D114" s="6" t="s">
        <v>25</v>
      </c>
      <c r="E114" s="6"/>
      <c r="F114" s="6"/>
      <c r="G114" s="6"/>
      <c r="H114" s="6"/>
      <c r="I114" s="6" t="s">
        <v>25</v>
      </c>
      <c r="J114" s="6"/>
      <c r="K114" s="6"/>
      <c r="L114" s="6"/>
      <c r="M114" s="6"/>
      <c r="N114" s="6"/>
      <c r="O114" s="6"/>
      <c r="P114" s="6"/>
      <c r="Q114" s="6" t="s">
        <v>25</v>
      </c>
      <c r="R114" s="4">
        <v>3</v>
      </c>
    </row>
    <row r="115" spans="1:18" x14ac:dyDescent="0.4">
      <c r="A115" s="4"/>
      <c r="B115" s="4" t="str">
        <f>"00531202"</f>
        <v>00531202</v>
      </c>
      <c r="C115" s="4" t="s">
        <v>36</v>
      </c>
      <c r="D115" s="6"/>
      <c r="E115" s="6" t="s">
        <v>25</v>
      </c>
      <c r="F115" s="6"/>
      <c r="G115" s="6"/>
      <c r="H115" s="6"/>
      <c r="I115" s="6"/>
      <c r="J115" s="6" t="s">
        <v>25</v>
      </c>
      <c r="K115" s="6"/>
      <c r="L115" s="6"/>
      <c r="M115" s="6"/>
      <c r="N115" s="6" t="s">
        <v>25</v>
      </c>
      <c r="O115" s="6"/>
      <c r="P115" s="6"/>
      <c r="Q115" s="6"/>
      <c r="R115" s="4">
        <v>3</v>
      </c>
    </row>
    <row r="116" spans="1:18" x14ac:dyDescent="0.4">
      <c r="A116" s="4"/>
      <c r="B116" s="4" t="str">
        <f>"00581025"</f>
        <v>00581025</v>
      </c>
      <c r="C116" s="4" t="s">
        <v>35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4"/>
    </row>
    <row r="117" spans="1:18" x14ac:dyDescent="0.4">
      <c r="A117" s="4"/>
      <c r="B117" s="4"/>
      <c r="C117" s="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4"/>
    </row>
    <row r="118" spans="1:18" x14ac:dyDescent="0.4">
      <c r="A118" s="4"/>
      <c r="B118" s="4"/>
      <c r="C118" s="4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4"/>
    </row>
    <row r="119" spans="1:18" x14ac:dyDescent="0.4">
      <c r="A119" s="4"/>
      <c r="B119" s="4"/>
      <c r="C119" s="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4"/>
    </row>
    <row r="120" spans="1:18" x14ac:dyDescent="0.4">
      <c r="A120" s="4"/>
      <c r="B120" s="4"/>
      <c r="C120" s="4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4"/>
    </row>
    <row r="121" spans="1:18" x14ac:dyDescent="0.4">
      <c r="A121" s="4"/>
      <c r="B121" s="4"/>
      <c r="C121" s="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4"/>
    </row>
    <row r="122" spans="1:18" x14ac:dyDescent="0.4">
      <c r="A122" s="4"/>
      <c r="B122" s="4"/>
      <c r="C122" s="4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4"/>
    </row>
    <row r="123" spans="1:18" x14ac:dyDescent="0.4">
      <c r="A123" s="4"/>
      <c r="B123" s="4"/>
      <c r="C123" s="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4"/>
    </row>
    <row r="124" spans="1:18" x14ac:dyDescent="0.4">
      <c r="A124" s="4"/>
      <c r="B124" s="4"/>
      <c r="C124" s="4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4"/>
    </row>
    <row r="125" spans="1:18" x14ac:dyDescent="0.4">
      <c r="A125" s="4"/>
      <c r="B125" s="4"/>
      <c r="C125" s="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4"/>
    </row>
    <row r="126" spans="1:18" x14ac:dyDescent="0.4">
      <c r="A126" s="4"/>
      <c r="B126" s="4"/>
      <c r="C126" s="4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4"/>
    </row>
    <row r="127" spans="1:18" x14ac:dyDescent="0.4">
      <c r="A127" s="4"/>
      <c r="B127" s="4"/>
      <c r="C127" s="4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4"/>
    </row>
    <row r="128" spans="1:18" x14ac:dyDescent="0.4">
      <c r="A128" s="4"/>
      <c r="B128" s="4"/>
      <c r="C128" s="4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4"/>
    </row>
    <row r="129" spans="1:18" x14ac:dyDescent="0.4">
      <c r="A129" s="4"/>
      <c r="B129" s="4"/>
      <c r="C129" s="4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4"/>
    </row>
    <row r="130" spans="1:18" x14ac:dyDescent="0.4">
      <c r="A130" s="4"/>
      <c r="B130" s="4"/>
      <c r="C130" s="4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4"/>
    </row>
    <row r="131" spans="1:18" x14ac:dyDescent="0.4">
      <c r="A131" s="4"/>
      <c r="B131" s="4"/>
      <c r="C131" s="4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4"/>
    </row>
    <row r="132" spans="1:18" x14ac:dyDescent="0.4">
      <c r="A132" s="4"/>
      <c r="B132" s="4"/>
      <c r="C132" s="4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4"/>
    </row>
    <row r="133" spans="1:18" x14ac:dyDescent="0.4">
      <c r="A133" s="4"/>
      <c r="B133" s="4"/>
      <c r="C133" s="4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4"/>
    </row>
    <row r="134" spans="1:18" x14ac:dyDescent="0.4">
      <c r="A134" s="4"/>
      <c r="B134" s="4"/>
      <c r="C134" s="4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4"/>
    </row>
    <row r="135" spans="1:18" x14ac:dyDescent="0.4">
      <c r="A135" s="4"/>
      <c r="B135" s="4"/>
      <c r="C135" s="4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4"/>
    </row>
    <row r="136" spans="1:18" x14ac:dyDescent="0.4">
      <c r="A136" s="4"/>
      <c r="B136" s="4"/>
      <c r="C136" s="4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4"/>
    </row>
    <row r="137" spans="1:18" x14ac:dyDescent="0.4">
      <c r="A137" s="4"/>
      <c r="B137" s="4"/>
      <c r="C137" s="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4"/>
    </row>
    <row r="138" spans="1:18" x14ac:dyDescent="0.4">
      <c r="A138" s="4"/>
      <c r="B138" s="4"/>
      <c r="C138" s="4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4"/>
    </row>
    <row r="139" spans="1:18" x14ac:dyDescent="0.4">
      <c r="A139" s="4"/>
      <c r="B139" s="4"/>
      <c r="C139" s="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4"/>
    </row>
    <row r="140" spans="1:18" x14ac:dyDescent="0.4">
      <c r="A140" s="4"/>
      <c r="B140" s="4"/>
      <c r="C140" s="4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4"/>
    </row>
    <row r="141" spans="1:18" x14ac:dyDescent="0.4">
      <c r="A141" s="4"/>
      <c r="B141" s="4"/>
      <c r="C141" s="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4"/>
    </row>
    <row r="142" spans="1:18" x14ac:dyDescent="0.4">
      <c r="B142" s="4"/>
      <c r="C142" s="4"/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&amp;C1061化學補強教學出席率登記本</oddHeader>
    <oddFooter>&amp;C&amp;A&amp;R第 &amp;P 頁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abSelected="1" topLeftCell="A91" zoomScale="90" zoomScaleNormal="90" workbookViewId="0">
      <selection activeCell="K95" sqref="K95"/>
    </sheetView>
  </sheetViews>
  <sheetFormatPr defaultRowHeight="17" x14ac:dyDescent="0.4"/>
  <cols>
    <col min="1" max="1" width="27.81640625" customWidth="1"/>
    <col min="7" max="7" width="10.1796875" customWidth="1"/>
    <col min="8" max="8" width="9.54296875" customWidth="1"/>
  </cols>
  <sheetData>
    <row r="1" spans="1:20" x14ac:dyDescent="0.4">
      <c r="A1" s="8" t="s">
        <v>37</v>
      </c>
    </row>
    <row r="2" spans="1:20" x14ac:dyDescent="0.4">
      <c r="A2" s="4" t="s">
        <v>0</v>
      </c>
      <c r="B2" s="4" t="s">
        <v>1</v>
      </c>
      <c r="C2" s="4" t="s">
        <v>3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10</v>
      </c>
      <c r="K2" s="1" t="s">
        <v>18</v>
      </c>
      <c r="L2" s="2" t="s">
        <v>19</v>
      </c>
      <c r="M2" s="2"/>
      <c r="N2" s="2"/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1" t="s">
        <v>11</v>
      </c>
    </row>
    <row r="3" spans="1:20" x14ac:dyDescent="0.4">
      <c r="A3" s="17" t="str">
        <f>"水產養殖學系"</f>
        <v>水產養殖學系</v>
      </c>
      <c r="B3" s="17" t="str">
        <f>"00633003"</f>
        <v>00633003</v>
      </c>
      <c r="C3" s="17" t="str">
        <f>"章育銓"</f>
        <v>章育銓</v>
      </c>
      <c r="D3" s="6"/>
      <c r="E3" s="6"/>
      <c r="F3" s="6"/>
      <c r="G3" s="6"/>
      <c r="H3" s="6"/>
      <c r="I3" s="6"/>
      <c r="J3" s="6"/>
      <c r="K3" s="6"/>
      <c r="L3" s="6" t="s">
        <v>26</v>
      </c>
      <c r="M3" s="6"/>
      <c r="N3" s="6"/>
      <c r="O3" s="6"/>
      <c r="P3" s="6"/>
      <c r="Q3" s="6"/>
      <c r="R3" s="6" t="s">
        <v>26</v>
      </c>
      <c r="S3" s="6"/>
      <c r="T3" s="7">
        <v>2</v>
      </c>
    </row>
    <row r="4" spans="1:20" x14ac:dyDescent="0.4">
      <c r="A4" s="17" t="str">
        <f t="shared" ref="A4:A30" si="0">"水產養殖學系"</f>
        <v>水產養殖學系</v>
      </c>
      <c r="B4" s="17" t="str">
        <f>"00633009"</f>
        <v>00633009</v>
      </c>
      <c r="C4" s="17" t="str">
        <f>"陳冠勳"</f>
        <v>陳冠勳</v>
      </c>
      <c r="D4" s="6"/>
      <c r="E4" s="6"/>
      <c r="F4" s="6"/>
      <c r="G4" s="6"/>
      <c r="H4" s="6"/>
      <c r="I4" s="6"/>
      <c r="J4" s="6"/>
      <c r="K4" s="6"/>
      <c r="L4" s="6" t="s">
        <v>26</v>
      </c>
      <c r="M4" s="6"/>
      <c r="N4" s="6"/>
      <c r="O4" s="6" t="s">
        <v>25</v>
      </c>
      <c r="P4" s="6"/>
      <c r="Q4" s="6"/>
      <c r="R4" s="6"/>
      <c r="S4" s="6"/>
      <c r="T4" s="7">
        <v>2</v>
      </c>
    </row>
    <row r="5" spans="1:20" x14ac:dyDescent="0.4">
      <c r="A5" s="17" t="str">
        <f t="shared" si="0"/>
        <v>水產養殖學系</v>
      </c>
      <c r="B5" s="17" t="str">
        <f>"00633017"</f>
        <v>00633017</v>
      </c>
      <c r="C5" s="17" t="str">
        <f>"周以德"</f>
        <v>周以德</v>
      </c>
      <c r="D5" s="6"/>
      <c r="E5" s="6"/>
      <c r="F5" s="6"/>
      <c r="G5" s="6"/>
      <c r="H5" s="6"/>
      <c r="I5" s="6"/>
      <c r="J5" s="6"/>
      <c r="K5" s="6"/>
      <c r="L5" s="6" t="s">
        <v>25</v>
      </c>
      <c r="M5" s="6"/>
      <c r="N5" s="6"/>
      <c r="O5" s="6"/>
      <c r="P5" s="6" t="s">
        <v>25</v>
      </c>
      <c r="Q5" s="6" t="s">
        <v>25</v>
      </c>
      <c r="R5" s="6" t="s">
        <v>25</v>
      </c>
      <c r="S5" s="6"/>
      <c r="T5" s="7">
        <v>4</v>
      </c>
    </row>
    <row r="6" spans="1:20" x14ac:dyDescent="0.4">
      <c r="A6" s="17" t="str">
        <f t="shared" si="0"/>
        <v>水產養殖學系</v>
      </c>
      <c r="B6" s="17" t="str">
        <f>"00633018"</f>
        <v>00633018</v>
      </c>
      <c r="C6" s="17" t="str">
        <f>"傅威鈞"</f>
        <v>傅威鈞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 t="s">
        <v>25</v>
      </c>
      <c r="Q6" s="6"/>
      <c r="R6" s="6"/>
      <c r="S6" s="6"/>
      <c r="T6" s="7">
        <v>1</v>
      </c>
    </row>
    <row r="7" spans="1:20" x14ac:dyDescent="0.4">
      <c r="A7" s="17" t="str">
        <f t="shared" si="0"/>
        <v>水產養殖學系</v>
      </c>
      <c r="B7" s="17" t="str">
        <f>"00633019"</f>
        <v>00633019</v>
      </c>
      <c r="C7" s="17" t="str">
        <f>"吳秉威"</f>
        <v>吳秉威</v>
      </c>
      <c r="D7" s="6"/>
      <c r="E7" s="6"/>
      <c r="F7" s="6"/>
      <c r="G7" s="6"/>
      <c r="H7" s="6"/>
      <c r="I7" s="6"/>
      <c r="J7" s="6"/>
      <c r="K7" s="6"/>
      <c r="L7" s="6" t="s">
        <v>25</v>
      </c>
      <c r="M7" s="6"/>
      <c r="N7" s="6"/>
      <c r="O7" s="6"/>
      <c r="P7" s="6"/>
      <c r="Q7" s="6"/>
      <c r="R7" s="6"/>
      <c r="S7" s="6"/>
      <c r="T7" s="7">
        <v>1</v>
      </c>
    </row>
    <row r="8" spans="1:20" x14ac:dyDescent="0.4">
      <c r="A8" s="17" t="str">
        <f t="shared" si="0"/>
        <v>水產養殖學系</v>
      </c>
      <c r="B8" s="17" t="str">
        <f>"00633021"</f>
        <v>00633021</v>
      </c>
      <c r="C8" s="17" t="str">
        <f>"林銘昱"</f>
        <v>林銘昱</v>
      </c>
      <c r="D8" s="6"/>
      <c r="E8" s="6"/>
      <c r="F8" s="6"/>
      <c r="G8" s="6"/>
      <c r="H8" s="6"/>
      <c r="I8" s="6"/>
      <c r="J8" s="6" t="s">
        <v>25</v>
      </c>
      <c r="K8" s="6"/>
      <c r="L8" s="6" t="s">
        <v>25</v>
      </c>
      <c r="M8" s="6"/>
      <c r="N8" s="6"/>
      <c r="O8" s="6" t="s">
        <v>25</v>
      </c>
      <c r="P8" s="6"/>
      <c r="Q8" s="6"/>
      <c r="R8" s="6"/>
      <c r="S8" s="6" t="s">
        <v>25</v>
      </c>
      <c r="T8" s="7">
        <v>4</v>
      </c>
    </row>
    <row r="9" spans="1:20" x14ac:dyDescent="0.4">
      <c r="A9" s="17" t="str">
        <f t="shared" si="0"/>
        <v>水產養殖學系</v>
      </c>
      <c r="B9" s="17" t="str">
        <f>"00633030"</f>
        <v>00633030</v>
      </c>
      <c r="C9" s="17" t="str">
        <f>"李玟欣"</f>
        <v>李玟欣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 t="s">
        <v>25</v>
      </c>
      <c r="P9" s="6"/>
      <c r="Q9" s="6"/>
      <c r="R9" s="6"/>
      <c r="S9" s="6" t="s">
        <v>25</v>
      </c>
      <c r="T9" s="7">
        <v>2</v>
      </c>
    </row>
    <row r="10" spans="1:20" x14ac:dyDescent="0.4">
      <c r="A10" s="17" t="str">
        <f t="shared" si="0"/>
        <v>水產養殖學系</v>
      </c>
      <c r="B10" s="17" t="str">
        <f>"00633031"</f>
        <v>00633031</v>
      </c>
      <c r="C10" s="17" t="str">
        <f>"管郁榛"</f>
        <v>管郁榛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 t="s">
        <v>25</v>
      </c>
      <c r="P10" s="6"/>
      <c r="Q10" s="6"/>
      <c r="R10" s="6"/>
      <c r="S10" s="6" t="s">
        <v>25</v>
      </c>
      <c r="T10" s="7">
        <v>2</v>
      </c>
    </row>
    <row r="11" spans="1:20" x14ac:dyDescent="0.4">
      <c r="A11" s="17" t="str">
        <f t="shared" si="0"/>
        <v>水產養殖學系</v>
      </c>
      <c r="B11" s="17" t="str">
        <f>"00633032"</f>
        <v>00633032</v>
      </c>
      <c r="C11" s="17" t="str">
        <f>"侯瑋瑋"</f>
        <v>侯瑋瑋</v>
      </c>
      <c r="D11" s="6"/>
      <c r="E11" s="6"/>
      <c r="F11" s="6"/>
      <c r="G11" s="6"/>
      <c r="H11" s="6" t="s">
        <v>25</v>
      </c>
      <c r="I11" s="6"/>
      <c r="J11" s="6"/>
      <c r="K11" s="6"/>
      <c r="L11" s="6"/>
      <c r="M11" s="6"/>
      <c r="N11" s="6"/>
      <c r="O11" s="6" t="s">
        <v>25</v>
      </c>
      <c r="P11" s="6"/>
      <c r="Q11" s="6"/>
      <c r="R11" s="6"/>
      <c r="S11" s="6" t="s">
        <v>25</v>
      </c>
      <c r="T11" s="7">
        <v>3</v>
      </c>
    </row>
    <row r="12" spans="1:20" x14ac:dyDescent="0.4">
      <c r="A12" s="17" t="str">
        <f t="shared" si="0"/>
        <v>水產養殖學系</v>
      </c>
      <c r="B12" s="17" t="str">
        <f>"00633033"</f>
        <v>00633033</v>
      </c>
      <c r="C12" s="17" t="str">
        <f>"張景涵"</f>
        <v>張景涵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 t="s">
        <v>25</v>
      </c>
      <c r="Q12" s="6"/>
      <c r="R12" s="6"/>
      <c r="S12" s="6"/>
      <c r="T12" s="7">
        <v>1</v>
      </c>
    </row>
    <row r="13" spans="1:20" x14ac:dyDescent="0.4">
      <c r="A13" s="17" t="str">
        <f t="shared" si="0"/>
        <v>水產養殖學系</v>
      </c>
      <c r="B13" s="17" t="str">
        <f>"00633036"</f>
        <v>00633036</v>
      </c>
      <c r="C13" s="17" t="str">
        <f>"劉育辰"</f>
        <v>劉育辰</v>
      </c>
      <c r="D13" s="6"/>
      <c r="E13" s="6"/>
      <c r="F13" s="6"/>
      <c r="G13" s="6"/>
      <c r="H13" s="6"/>
      <c r="I13" s="6"/>
      <c r="J13" s="6"/>
      <c r="K13" s="6"/>
      <c r="L13" s="6" t="s">
        <v>25</v>
      </c>
      <c r="M13" s="6"/>
      <c r="N13" s="6"/>
      <c r="O13" s="6"/>
      <c r="P13" s="6"/>
      <c r="Q13" s="6"/>
      <c r="R13" s="6"/>
      <c r="S13" s="6"/>
      <c r="T13" s="7">
        <v>1</v>
      </c>
    </row>
    <row r="14" spans="1:20" x14ac:dyDescent="0.4">
      <c r="A14" s="17" t="str">
        <f t="shared" si="0"/>
        <v>水產養殖學系</v>
      </c>
      <c r="B14" s="17" t="str">
        <f>"00633037"</f>
        <v>00633037</v>
      </c>
      <c r="C14" s="17" t="str">
        <f>"黃祥庭"</f>
        <v>黃祥庭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 t="s">
        <v>25</v>
      </c>
      <c r="R14" s="6"/>
      <c r="S14" s="6"/>
      <c r="T14" s="7">
        <v>1</v>
      </c>
    </row>
    <row r="15" spans="1:20" x14ac:dyDescent="0.4">
      <c r="A15" s="17" t="str">
        <f t="shared" si="0"/>
        <v>水產養殖學系</v>
      </c>
      <c r="B15" s="17" t="str">
        <f>"00633041"</f>
        <v>00633041</v>
      </c>
      <c r="C15" s="17" t="str">
        <f>"劉易豪"</f>
        <v>劉易豪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 t="s">
        <v>25</v>
      </c>
      <c r="P15" s="6"/>
      <c r="Q15" s="6"/>
      <c r="R15" s="6"/>
      <c r="S15" s="6"/>
      <c r="T15" s="4">
        <v>1</v>
      </c>
    </row>
    <row r="16" spans="1:20" x14ac:dyDescent="0.4">
      <c r="A16" s="17" t="str">
        <f t="shared" si="0"/>
        <v>水產養殖學系</v>
      </c>
      <c r="B16" s="17" t="str">
        <f>"00633047"</f>
        <v>00633047</v>
      </c>
      <c r="C16" s="17" t="str">
        <f>"李昱澤"</f>
        <v>李昱澤</v>
      </c>
      <c r="D16" s="6"/>
      <c r="E16" s="6"/>
      <c r="F16" s="6" t="s">
        <v>25</v>
      </c>
      <c r="G16" s="6"/>
      <c r="H16" s="6"/>
      <c r="I16" s="6"/>
      <c r="J16" s="6" t="s">
        <v>25</v>
      </c>
      <c r="K16" s="6" t="s">
        <v>25</v>
      </c>
      <c r="L16" s="6" t="s">
        <v>25</v>
      </c>
      <c r="M16" s="6"/>
      <c r="N16" s="6"/>
      <c r="O16" s="6"/>
      <c r="P16" s="6"/>
      <c r="Q16" s="6"/>
      <c r="R16" s="6" t="s">
        <v>25</v>
      </c>
      <c r="S16" s="6" t="s">
        <v>25</v>
      </c>
      <c r="T16" s="4">
        <v>6</v>
      </c>
    </row>
    <row r="17" spans="1:20" x14ac:dyDescent="0.4">
      <c r="A17" s="17" t="str">
        <f t="shared" si="0"/>
        <v>水產養殖學系</v>
      </c>
      <c r="B17" s="17" t="str">
        <f>"00633101"</f>
        <v>00633101</v>
      </c>
      <c r="C17" s="17" t="str">
        <f>"許棋崴"</f>
        <v>許棋崴</v>
      </c>
      <c r="D17" s="6"/>
      <c r="E17" s="6" t="s">
        <v>25</v>
      </c>
      <c r="F17" s="6"/>
      <c r="G17" s="6"/>
      <c r="H17" s="6"/>
      <c r="I17" s="6" t="s">
        <v>25</v>
      </c>
      <c r="J17" s="6" t="s">
        <v>25</v>
      </c>
      <c r="K17" s="6"/>
      <c r="L17" s="6" t="s">
        <v>25</v>
      </c>
      <c r="M17" s="6"/>
      <c r="N17" s="6"/>
      <c r="O17" s="6"/>
      <c r="P17" s="6" t="s">
        <v>25</v>
      </c>
      <c r="Q17" s="6"/>
      <c r="R17" s="6"/>
      <c r="S17" s="6"/>
      <c r="T17" s="4">
        <v>5</v>
      </c>
    </row>
    <row r="18" spans="1:20" x14ac:dyDescent="0.4">
      <c r="A18" s="17" t="str">
        <f t="shared" si="0"/>
        <v>水產養殖學系</v>
      </c>
      <c r="B18" s="17" t="str">
        <f>"00633102"</f>
        <v>00633102</v>
      </c>
      <c r="C18" s="17" t="str">
        <f>"石珮妤"</f>
        <v>石珮妤</v>
      </c>
      <c r="D18" s="6"/>
      <c r="E18" s="6"/>
      <c r="F18" s="6"/>
      <c r="G18" s="6"/>
      <c r="H18" s="6" t="s">
        <v>25</v>
      </c>
      <c r="I18" s="6"/>
      <c r="J18" s="6"/>
      <c r="K18" s="6"/>
      <c r="L18" s="6"/>
      <c r="M18" s="6"/>
      <c r="N18" s="6"/>
      <c r="O18" s="6" t="s">
        <v>25</v>
      </c>
      <c r="P18" s="6"/>
      <c r="Q18" s="6"/>
      <c r="R18" s="6"/>
      <c r="S18" s="6" t="s">
        <v>25</v>
      </c>
      <c r="T18" s="4">
        <v>3</v>
      </c>
    </row>
    <row r="19" spans="1:20" x14ac:dyDescent="0.4">
      <c r="A19" s="17" t="str">
        <f t="shared" si="0"/>
        <v>水產養殖學系</v>
      </c>
      <c r="B19" s="17" t="str">
        <f>"00633106"</f>
        <v>00633106</v>
      </c>
      <c r="C19" s="17" t="str">
        <f>"吳松霑"</f>
        <v>吳松霑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 t="s">
        <v>25</v>
      </c>
      <c r="S19" s="6"/>
      <c r="T19" s="4">
        <v>1</v>
      </c>
    </row>
    <row r="20" spans="1:20" x14ac:dyDescent="0.4">
      <c r="A20" s="17" t="str">
        <f t="shared" si="0"/>
        <v>水產養殖學系</v>
      </c>
      <c r="B20" s="17" t="str">
        <f>"00633108"</f>
        <v>00633108</v>
      </c>
      <c r="C20" s="17" t="str">
        <f>"洪國智"</f>
        <v>洪國智</v>
      </c>
      <c r="D20" s="6"/>
      <c r="E20" s="6"/>
      <c r="F20" s="6"/>
      <c r="G20" s="6"/>
      <c r="H20" s="6"/>
      <c r="I20" s="6"/>
      <c r="J20" s="6"/>
      <c r="K20" s="6"/>
      <c r="L20" s="6" t="s">
        <v>25</v>
      </c>
      <c r="M20" s="6"/>
      <c r="N20" s="6"/>
      <c r="O20" s="6"/>
      <c r="P20" s="6"/>
      <c r="Q20" s="6"/>
      <c r="R20" s="6"/>
      <c r="S20" s="6"/>
      <c r="T20" s="4">
        <v>1</v>
      </c>
    </row>
    <row r="21" spans="1:20" x14ac:dyDescent="0.4">
      <c r="A21" s="17" t="str">
        <f t="shared" si="0"/>
        <v>水產養殖學系</v>
      </c>
      <c r="B21" s="17" t="str">
        <f>"00633112"</f>
        <v>00633112</v>
      </c>
      <c r="C21" s="17" t="str">
        <f>"鄭元勛"</f>
        <v>鄭元勛</v>
      </c>
      <c r="D21" s="6"/>
      <c r="E21" s="6"/>
      <c r="F21" s="6"/>
      <c r="G21" s="6"/>
      <c r="H21" s="6"/>
      <c r="I21" s="6"/>
      <c r="J21" s="6"/>
      <c r="K21" s="6" t="s">
        <v>25</v>
      </c>
      <c r="L21" s="6"/>
      <c r="M21" s="6"/>
      <c r="N21" s="6"/>
      <c r="O21" s="6"/>
      <c r="P21" s="6" t="s">
        <v>25</v>
      </c>
      <c r="Q21" s="6" t="s">
        <v>25</v>
      </c>
      <c r="R21" s="6"/>
      <c r="S21" s="6"/>
      <c r="T21" s="4">
        <v>3</v>
      </c>
    </row>
    <row r="22" spans="1:20" x14ac:dyDescent="0.4">
      <c r="A22" s="17" t="str">
        <f t="shared" si="0"/>
        <v>水產養殖學系</v>
      </c>
      <c r="B22" s="17" t="str">
        <f>"00633113"</f>
        <v>00633113</v>
      </c>
      <c r="C22" s="17" t="str">
        <f>"蘇品叡"</f>
        <v>蘇品叡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 t="s">
        <v>25</v>
      </c>
      <c r="R22" s="6"/>
      <c r="S22" s="6"/>
      <c r="T22" s="4">
        <v>1</v>
      </c>
    </row>
    <row r="23" spans="1:20" x14ac:dyDescent="0.4">
      <c r="A23" s="17" t="str">
        <f t="shared" si="0"/>
        <v>水產養殖學系</v>
      </c>
      <c r="B23" s="17" t="str">
        <f>"00633114"</f>
        <v>00633114</v>
      </c>
      <c r="C23" s="17" t="str">
        <f>"蘇柏睿"</f>
        <v>蘇柏睿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 t="s">
        <v>25</v>
      </c>
      <c r="R23" s="6" t="s">
        <v>25</v>
      </c>
      <c r="S23" s="6"/>
      <c r="T23" s="4">
        <v>2</v>
      </c>
    </row>
    <row r="24" spans="1:20" x14ac:dyDescent="0.4">
      <c r="A24" s="17" t="str">
        <f t="shared" si="0"/>
        <v>水產養殖學系</v>
      </c>
      <c r="B24" s="17" t="str">
        <f>"00633118"</f>
        <v>00633118</v>
      </c>
      <c r="C24" s="17" t="str">
        <f>"尚文翔"</f>
        <v>尚文翔</v>
      </c>
      <c r="D24" s="6"/>
      <c r="E24" s="6"/>
      <c r="F24" s="6"/>
      <c r="G24" s="6"/>
      <c r="H24" s="6"/>
      <c r="I24" s="6"/>
      <c r="J24" s="6"/>
      <c r="K24" s="6"/>
      <c r="L24" s="6" t="s">
        <v>25</v>
      </c>
      <c r="M24" s="6"/>
      <c r="N24" s="6"/>
      <c r="O24" s="6"/>
      <c r="P24" s="6"/>
      <c r="Q24" s="6"/>
      <c r="R24" s="6"/>
      <c r="S24" s="6"/>
      <c r="T24" s="4">
        <v>1</v>
      </c>
    </row>
    <row r="25" spans="1:20" x14ac:dyDescent="0.4">
      <c r="A25" s="17" t="str">
        <f t="shared" si="0"/>
        <v>水產養殖學系</v>
      </c>
      <c r="B25" s="17" t="str">
        <f>"00633123"</f>
        <v>00633123</v>
      </c>
      <c r="C25" s="17" t="str">
        <f>"康瑞軒"</f>
        <v>康瑞軒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 t="s">
        <v>25</v>
      </c>
      <c r="Q25" s="6"/>
      <c r="R25" s="6"/>
      <c r="S25" s="6"/>
      <c r="T25" s="4">
        <v>1</v>
      </c>
    </row>
    <row r="26" spans="1:20" x14ac:dyDescent="0.4">
      <c r="A26" s="17" t="str">
        <f t="shared" si="0"/>
        <v>水產養殖學系</v>
      </c>
      <c r="B26" s="17" t="str">
        <f>"00633128"</f>
        <v>00633128</v>
      </c>
      <c r="C26" s="17" t="str">
        <f>"詹筑鈞"</f>
        <v>詹筑鈞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 t="s">
        <v>25</v>
      </c>
      <c r="Q26" s="6" t="s">
        <v>25</v>
      </c>
      <c r="R26" s="6"/>
      <c r="S26" s="6"/>
      <c r="T26" s="4">
        <v>2</v>
      </c>
    </row>
    <row r="27" spans="1:20" x14ac:dyDescent="0.4">
      <c r="A27" s="17" t="str">
        <f t="shared" si="0"/>
        <v>水產養殖學系</v>
      </c>
      <c r="B27" s="17" t="str">
        <f>"00633129"</f>
        <v>00633129</v>
      </c>
      <c r="C27" s="17" t="str">
        <f>"張巧穎"</f>
        <v>張巧穎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 t="s">
        <v>25</v>
      </c>
      <c r="R27" s="6"/>
      <c r="S27" s="6"/>
      <c r="T27" s="4">
        <v>1</v>
      </c>
    </row>
    <row r="28" spans="1:20" x14ac:dyDescent="0.4">
      <c r="A28" s="17" t="str">
        <f t="shared" si="0"/>
        <v>水產養殖學系</v>
      </c>
      <c r="B28" s="17" t="str">
        <f>"00633130"</f>
        <v>00633130</v>
      </c>
      <c r="C28" s="17" t="str">
        <f>"俞琬萱"</f>
        <v>俞琬萱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 t="s">
        <v>25</v>
      </c>
      <c r="R28" s="6"/>
      <c r="S28" s="6"/>
      <c r="T28" s="4">
        <v>1</v>
      </c>
    </row>
    <row r="29" spans="1:20" x14ac:dyDescent="0.4">
      <c r="A29" s="17" t="str">
        <f t="shared" si="0"/>
        <v>水產養殖學系</v>
      </c>
      <c r="B29" s="17" t="str">
        <f>"00633131"</f>
        <v>00633131</v>
      </c>
      <c r="C29" s="17" t="str">
        <f>"劉莛妤"</f>
        <v>劉莛妤</v>
      </c>
      <c r="D29" s="6"/>
      <c r="E29" s="6"/>
      <c r="F29" s="6"/>
      <c r="G29" s="6"/>
      <c r="H29" s="6"/>
      <c r="I29" s="6" t="s">
        <v>25</v>
      </c>
      <c r="J29" s="6"/>
      <c r="K29" s="6"/>
      <c r="L29" s="6"/>
      <c r="M29" s="6"/>
      <c r="N29" s="6"/>
      <c r="O29" s="6"/>
      <c r="P29" s="6" t="s">
        <v>25</v>
      </c>
      <c r="Q29" s="6" t="s">
        <v>25</v>
      </c>
      <c r="R29" s="6"/>
      <c r="S29" s="6"/>
      <c r="T29" s="4">
        <v>3</v>
      </c>
    </row>
    <row r="30" spans="1:20" x14ac:dyDescent="0.4">
      <c r="A30" s="17" t="str">
        <f t="shared" si="0"/>
        <v>水產養殖學系</v>
      </c>
      <c r="B30" s="17" t="str">
        <f>"00633136"</f>
        <v>00633136</v>
      </c>
      <c r="C30" s="17" t="str">
        <f>"許智盈"</f>
        <v>許智盈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 t="s">
        <v>25</v>
      </c>
      <c r="Q30" s="6" t="s">
        <v>25</v>
      </c>
      <c r="R30" s="6"/>
      <c r="S30" s="6"/>
      <c r="T30" s="4">
        <v>2</v>
      </c>
    </row>
    <row r="31" spans="1:20" x14ac:dyDescent="0.4">
      <c r="A31" s="17" t="str">
        <f>"水產養殖學系"</f>
        <v>水產養殖學系</v>
      </c>
      <c r="B31" s="17" t="str">
        <f>"00431009"</f>
        <v>00431009</v>
      </c>
      <c r="C31" s="17" t="str">
        <f>"張煦誠"</f>
        <v>張煦誠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 t="s">
        <v>25</v>
      </c>
      <c r="R31" s="6"/>
      <c r="S31" s="6"/>
      <c r="T31" s="4">
        <v>1</v>
      </c>
    </row>
    <row r="32" spans="1:20" x14ac:dyDescent="0.4">
      <c r="A32" s="12" t="str">
        <f t="shared" ref="A32:A38" si="1">"食品科學系食品科學組"</f>
        <v>食品科學系食品科學組</v>
      </c>
      <c r="B32" s="12" t="str">
        <f>"00639027"</f>
        <v>00639027</v>
      </c>
      <c r="C32" s="12" t="str">
        <f>"劉郁玟"</f>
        <v>劉郁玟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 t="s">
        <v>25</v>
      </c>
      <c r="P32" s="6"/>
      <c r="Q32" s="6"/>
      <c r="R32" s="6"/>
      <c r="S32" s="6" t="s">
        <v>25</v>
      </c>
      <c r="T32" s="4">
        <v>2</v>
      </c>
    </row>
    <row r="33" spans="1:20" x14ac:dyDescent="0.4">
      <c r="A33" s="12" t="str">
        <f t="shared" si="1"/>
        <v>食品科學系食品科學組</v>
      </c>
      <c r="B33" s="12" t="str">
        <f>"00639028"</f>
        <v>00639028</v>
      </c>
      <c r="C33" s="12" t="str">
        <f>"曾莉珈"</f>
        <v>曾莉珈</v>
      </c>
      <c r="D33" s="6" t="s">
        <v>25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 t="s">
        <v>25</v>
      </c>
      <c r="P33" s="6"/>
      <c r="Q33" s="6"/>
      <c r="R33" s="6"/>
      <c r="S33" s="6" t="s">
        <v>25</v>
      </c>
      <c r="T33" s="4">
        <v>3</v>
      </c>
    </row>
    <row r="34" spans="1:20" x14ac:dyDescent="0.4">
      <c r="A34" s="12" t="str">
        <f>"食品科學系食品科學組"</f>
        <v>食品科學系食品科學組</v>
      </c>
      <c r="B34" s="12" t="str">
        <f>"00639033"</f>
        <v>00639033</v>
      </c>
      <c r="C34" s="12" t="str">
        <f>"陳昱瑾"</f>
        <v>陳昱瑾</v>
      </c>
      <c r="D34" s="6"/>
      <c r="E34" s="6"/>
      <c r="F34" s="6"/>
      <c r="G34" s="6"/>
      <c r="H34" s="6"/>
      <c r="I34" s="6" t="s">
        <v>25</v>
      </c>
      <c r="J34" s="6"/>
      <c r="K34" s="6" t="s">
        <v>25</v>
      </c>
      <c r="L34" s="6"/>
      <c r="M34" s="6"/>
      <c r="N34" s="6"/>
      <c r="O34" s="6"/>
      <c r="P34" s="6" t="s">
        <v>25</v>
      </c>
      <c r="Q34" s="6"/>
      <c r="R34" s="6"/>
      <c r="S34" s="6"/>
      <c r="T34" s="4">
        <v>3</v>
      </c>
    </row>
    <row r="35" spans="1:20" x14ac:dyDescent="0.4">
      <c r="A35" s="12" t="str">
        <f t="shared" si="1"/>
        <v>食品科學系食品科學組</v>
      </c>
      <c r="B35" s="12" t="str">
        <f>"00639034"</f>
        <v>00639034</v>
      </c>
      <c r="C35" s="12" t="str">
        <f>"姚帥煇"</f>
        <v>姚帥煇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 t="s">
        <v>25</v>
      </c>
      <c r="P35" s="6" t="s">
        <v>25</v>
      </c>
      <c r="Q35" s="6"/>
      <c r="R35" s="6"/>
      <c r="S35" s="6"/>
      <c r="T35" s="4">
        <v>2</v>
      </c>
    </row>
    <row r="36" spans="1:20" x14ac:dyDescent="0.4">
      <c r="A36" s="12" t="str">
        <f t="shared" si="1"/>
        <v>食品科學系食品科學組</v>
      </c>
      <c r="B36" s="12" t="str">
        <f>"00639035"</f>
        <v>00639035</v>
      </c>
      <c r="C36" s="12" t="str">
        <f>"高敏"</f>
        <v>高敏</v>
      </c>
      <c r="D36" s="6"/>
      <c r="E36" s="6"/>
      <c r="F36" s="6"/>
      <c r="G36" s="6"/>
      <c r="H36" s="6"/>
      <c r="I36" s="6" t="s">
        <v>25</v>
      </c>
      <c r="J36" s="6"/>
      <c r="K36" s="6" t="s">
        <v>25</v>
      </c>
      <c r="L36" s="6"/>
      <c r="M36" s="6"/>
      <c r="N36" s="6"/>
      <c r="O36" s="6"/>
      <c r="P36" s="6" t="s">
        <v>25</v>
      </c>
      <c r="Q36" s="6"/>
      <c r="R36" s="6"/>
      <c r="S36" s="6"/>
      <c r="T36" s="4">
        <v>3</v>
      </c>
    </row>
    <row r="37" spans="1:20" x14ac:dyDescent="0.4">
      <c r="A37" s="12" t="str">
        <f t="shared" si="1"/>
        <v>食品科學系食品科學組</v>
      </c>
      <c r="B37" s="12" t="str">
        <f>"00639038"</f>
        <v>00639038</v>
      </c>
      <c r="C37" s="12" t="str">
        <f>"郭政琳"</f>
        <v>郭政琳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 t="s">
        <v>25</v>
      </c>
      <c r="Q37" s="6"/>
      <c r="R37" s="6"/>
      <c r="S37" s="6"/>
      <c r="T37" s="4">
        <v>1</v>
      </c>
    </row>
    <row r="38" spans="1:20" x14ac:dyDescent="0.4">
      <c r="A38" s="12" t="str">
        <f t="shared" si="1"/>
        <v>食品科學系食品科學組</v>
      </c>
      <c r="B38" s="12" t="str">
        <f>"00639041"</f>
        <v>00639041</v>
      </c>
      <c r="C38" s="12" t="str">
        <f>"王思穎"</f>
        <v>王思穎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 t="s">
        <v>25</v>
      </c>
      <c r="Q38" s="6"/>
      <c r="R38" s="6"/>
      <c r="S38" s="6"/>
      <c r="T38" s="4">
        <v>1</v>
      </c>
    </row>
    <row r="39" spans="1:20" x14ac:dyDescent="0.4">
      <c r="A39" s="12" t="s">
        <v>38</v>
      </c>
      <c r="B39" s="13" t="str">
        <f>"0043A051"</f>
        <v>0043A051</v>
      </c>
      <c r="C39" s="13" t="s">
        <v>39</v>
      </c>
      <c r="D39" s="6"/>
      <c r="E39" s="6"/>
      <c r="F39" s="6"/>
      <c r="G39" s="6"/>
      <c r="H39" s="6"/>
      <c r="I39" s="6"/>
      <c r="J39" s="6"/>
      <c r="K39" s="6" t="s">
        <v>25</v>
      </c>
      <c r="L39" s="6"/>
      <c r="M39" s="6"/>
      <c r="N39" s="6"/>
      <c r="O39" s="6"/>
      <c r="P39" s="6"/>
      <c r="Q39" s="6" t="s">
        <v>25</v>
      </c>
      <c r="R39" s="6"/>
      <c r="S39" s="6"/>
      <c r="T39" s="4">
        <v>2</v>
      </c>
    </row>
    <row r="40" spans="1:20" x14ac:dyDescent="0.4">
      <c r="A40" s="14" t="str">
        <f>"輪機工程學系動力工程組"</f>
        <v>輪機工程學系動力工程組</v>
      </c>
      <c r="B40" s="14" t="str">
        <f>"0066D035"</f>
        <v>0066D035</v>
      </c>
      <c r="C40" s="14" t="str">
        <f>"陳韋綸"</f>
        <v>陳韋綸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 t="s">
        <v>25</v>
      </c>
      <c r="S40" s="6" t="s">
        <v>25</v>
      </c>
      <c r="T40" s="4">
        <v>2</v>
      </c>
    </row>
    <row r="41" spans="1:20" x14ac:dyDescent="0.4">
      <c r="A41" s="14" t="str">
        <f t="shared" ref="A41" si="2">"輪機工程學系動力工程組"</f>
        <v>輪機工程學系動力工程組</v>
      </c>
      <c r="B41" s="14" t="str">
        <f>"0066D040"</f>
        <v>0066D040</v>
      </c>
      <c r="C41" s="14" t="str">
        <f>"楊祐涵"</f>
        <v>楊祐涵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 t="s">
        <v>25</v>
      </c>
      <c r="T41" s="4">
        <v>1</v>
      </c>
    </row>
    <row r="42" spans="1:20" x14ac:dyDescent="0.4">
      <c r="A42" s="14"/>
      <c r="B42" s="14" t="str">
        <f>"0056D030"</f>
        <v>0056D030</v>
      </c>
      <c r="C42" s="14" t="s">
        <v>40</v>
      </c>
      <c r="D42" s="6" t="s">
        <v>25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>
        <v>1</v>
      </c>
    </row>
    <row r="43" spans="1:20" x14ac:dyDescent="0.4">
      <c r="A43" s="15" t="str">
        <f>"機械與機電工程學系"</f>
        <v>機械與機電工程學系</v>
      </c>
      <c r="B43" s="15" t="str">
        <f>"00672123"</f>
        <v>00672123</v>
      </c>
      <c r="C43" s="15" t="str">
        <f>"陳柏宏"</f>
        <v>陳柏宏</v>
      </c>
      <c r="D43" s="4"/>
      <c r="E43" s="4"/>
      <c r="F43" s="4"/>
      <c r="G43" s="4"/>
      <c r="H43" s="4"/>
      <c r="I43" s="4"/>
      <c r="J43" s="6" t="s">
        <v>25</v>
      </c>
      <c r="K43" s="4"/>
      <c r="L43" s="4"/>
      <c r="M43" s="4"/>
      <c r="N43" s="4"/>
      <c r="O43" s="4"/>
      <c r="P43" s="4"/>
      <c r="Q43" s="4"/>
      <c r="R43" s="4"/>
      <c r="S43" s="4"/>
      <c r="T43" s="4">
        <v>1</v>
      </c>
    </row>
    <row r="44" spans="1:20" x14ac:dyDescent="0.4">
      <c r="A44" s="9" t="str">
        <f>"海洋生物科技學士學位學程"</f>
        <v>海洋生物科技學士學位學程</v>
      </c>
      <c r="B44" s="9" t="str">
        <f>"00638010"</f>
        <v>00638010</v>
      </c>
      <c r="C44" s="9" t="str">
        <f>"陳采昕"</f>
        <v>陳采昕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 t="s">
        <v>25</v>
      </c>
      <c r="Q44" s="6"/>
      <c r="R44" s="6"/>
      <c r="S44" s="6"/>
      <c r="T44" s="4">
        <v>1</v>
      </c>
    </row>
    <row r="45" spans="1:20" x14ac:dyDescent="0.4">
      <c r="A45" s="9" t="str">
        <f>"海洋生物科技學士學位學程"</f>
        <v>海洋生物科技學士學位學程</v>
      </c>
      <c r="B45" s="9" t="str">
        <f>"00638025"</f>
        <v>00638025</v>
      </c>
      <c r="C45" s="9" t="str">
        <f>"黃乃一"</f>
        <v>黃乃一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 t="s">
        <v>25</v>
      </c>
      <c r="Q45" s="6"/>
      <c r="R45" s="6"/>
      <c r="S45" s="6"/>
      <c r="T45" s="4">
        <v>1</v>
      </c>
    </row>
    <row r="46" spans="1:20" x14ac:dyDescent="0.4">
      <c r="A46" s="16" t="str">
        <f>"環境生物與漁業科學學系"</f>
        <v>環境生物與漁業科學學系</v>
      </c>
      <c r="B46" s="16" t="str">
        <f>"00631001"</f>
        <v>00631001</v>
      </c>
      <c r="C46" s="16" t="str">
        <f>"丁之博"</f>
        <v>丁之博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 t="s">
        <v>25</v>
      </c>
      <c r="P46" s="6"/>
      <c r="Q46" s="6"/>
      <c r="R46" s="6"/>
      <c r="S46" s="6"/>
      <c r="T46" s="4">
        <v>1</v>
      </c>
    </row>
    <row r="47" spans="1:20" x14ac:dyDescent="0.4">
      <c r="A47" s="16" t="str">
        <f t="shared" ref="A47:A71" si="3">"環境生物與漁業科學學系"</f>
        <v>環境生物與漁業科學學系</v>
      </c>
      <c r="B47" s="16" t="str">
        <f>"00631003"</f>
        <v>00631003</v>
      </c>
      <c r="C47" s="16" t="str">
        <f>"呂玟潔"</f>
        <v>呂玟潔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 t="s">
        <v>25</v>
      </c>
      <c r="P47" s="6"/>
      <c r="Q47" s="6"/>
      <c r="R47" s="6"/>
      <c r="S47" s="6"/>
      <c r="T47" s="4">
        <v>1</v>
      </c>
    </row>
    <row r="48" spans="1:20" x14ac:dyDescent="0.4">
      <c r="A48" s="16" t="str">
        <f t="shared" si="3"/>
        <v>環境生物與漁業科學學系</v>
      </c>
      <c r="B48" s="16" t="str">
        <f>"00631004"</f>
        <v>00631004</v>
      </c>
      <c r="C48" s="16" t="str">
        <f>"林娜"</f>
        <v>林娜</v>
      </c>
      <c r="D48" s="6"/>
      <c r="E48" s="6"/>
      <c r="F48" s="6"/>
      <c r="G48" s="6"/>
      <c r="H48" s="6" t="s">
        <v>25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4">
        <v>1</v>
      </c>
    </row>
    <row r="49" spans="1:20" x14ac:dyDescent="0.4">
      <c r="A49" s="16" t="str">
        <f t="shared" si="3"/>
        <v>環境生物與漁業科學學系</v>
      </c>
      <c r="B49" s="16" t="str">
        <f>"00631005"</f>
        <v>00631005</v>
      </c>
      <c r="C49" s="16" t="str">
        <f>"張荁荁"</f>
        <v>張荁荁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 t="s">
        <v>25</v>
      </c>
      <c r="P49" s="6"/>
      <c r="Q49" s="6"/>
      <c r="R49" s="6"/>
      <c r="S49" s="6" t="s">
        <v>25</v>
      </c>
      <c r="T49" s="4">
        <v>2</v>
      </c>
    </row>
    <row r="50" spans="1:20" x14ac:dyDescent="0.4">
      <c r="A50" s="16" t="str">
        <f t="shared" si="3"/>
        <v>環境生物與漁業科學學系</v>
      </c>
      <c r="B50" s="16" t="str">
        <f>"00631006"</f>
        <v>00631006</v>
      </c>
      <c r="C50" s="16" t="str">
        <f>"許哲瑋"</f>
        <v>許哲瑋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 t="s">
        <v>25</v>
      </c>
      <c r="Q50" s="6"/>
      <c r="R50" s="6"/>
      <c r="S50" s="6" t="s">
        <v>25</v>
      </c>
      <c r="T50" s="4">
        <v>2</v>
      </c>
    </row>
    <row r="51" spans="1:20" x14ac:dyDescent="0.4">
      <c r="A51" s="16" t="str">
        <f t="shared" si="3"/>
        <v>環境生物與漁業科學學系</v>
      </c>
      <c r="B51" s="16" t="str">
        <f>"00631008"</f>
        <v>00631008</v>
      </c>
      <c r="C51" s="16" t="str">
        <f>"許意玟"</f>
        <v>許意玟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 t="s">
        <v>25</v>
      </c>
      <c r="P51" s="6"/>
      <c r="Q51" s="6"/>
      <c r="R51" s="6"/>
      <c r="S51" s="6" t="s">
        <v>25</v>
      </c>
      <c r="T51" s="4">
        <v>2</v>
      </c>
    </row>
    <row r="52" spans="1:20" x14ac:dyDescent="0.4">
      <c r="A52" s="16" t="str">
        <f t="shared" si="3"/>
        <v>環境生物與漁業科學學系</v>
      </c>
      <c r="B52" s="16" t="str">
        <f>"00631011"</f>
        <v>00631011</v>
      </c>
      <c r="C52" s="16" t="str">
        <f>"陳建志"</f>
        <v>陳建志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 t="s">
        <v>25</v>
      </c>
      <c r="S52" s="6"/>
      <c r="T52" s="4">
        <v>1</v>
      </c>
    </row>
    <row r="53" spans="1:20" x14ac:dyDescent="0.4">
      <c r="A53" s="16" t="str">
        <f t="shared" si="3"/>
        <v>環境生物與漁業科學學系</v>
      </c>
      <c r="B53" s="16" t="str">
        <f>"00631013"</f>
        <v>00631013</v>
      </c>
      <c r="C53" s="16" t="str">
        <f>"林俊叡"</f>
        <v>林俊叡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 t="s">
        <v>25</v>
      </c>
      <c r="P53" s="6"/>
      <c r="Q53" s="6"/>
      <c r="R53" s="6"/>
      <c r="S53" s="6"/>
      <c r="T53" s="4">
        <v>1</v>
      </c>
    </row>
    <row r="54" spans="1:20" x14ac:dyDescent="0.4">
      <c r="A54" s="16" t="str">
        <f t="shared" si="3"/>
        <v>環境生物與漁業科學學系</v>
      </c>
      <c r="B54" s="16" t="str">
        <f>"00631015"</f>
        <v>00631015</v>
      </c>
      <c r="C54" s="16" t="str">
        <f>"楊沛峰"</f>
        <v>楊沛峰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 t="s">
        <v>25</v>
      </c>
      <c r="S54" s="6"/>
      <c r="T54" s="4">
        <v>1</v>
      </c>
    </row>
    <row r="55" spans="1:20" x14ac:dyDescent="0.4">
      <c r="A55" s="16" t="str">
        <f t="shared" si="3"/>
        <v>環境生物與漁業科學學系</v>
      </c>
      <c r="B55" s="16" t="str">
        <f>"00631016"</f>
        <v>00631016</v>
      </c>
      <c r="C55" s="16" t="str">
        <f>"馮韻如"</f>
        <v>馮韻如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 t="s">
        <v>25</v>
      </c>
      <c r="S55" s="6" t="s">
        <v>25</v>
      </c>
      <c r="T55" s="4">
        <v>2</v>
      </c>
    </row>
    <row r="56" spans="1:20" x14ac:dyDescent="0.4">
      <c r="A56" s="16" t="str">
        <f t="shared" si="3"/>
        <v>環境生物與漁業科學學系</v>
      </c>
      <c r="B56" s="16" t="str">
        <f>"00631017"</f>
        <v>00631017</v>
      </c>
      <c r="C56" s="16" t="str">
        <f>"范宜臻"</f>
        <v>范宜臻</v>
      </c>
      <c r="D56" s="6"/>
      <c r="E56" s="6"/>
      <c r="F56" s="6"/>
      <c r="G56" s="6"/>
      <c r="H56" s="6" t="s">
        <v>25</v>
      </c>
      <c r="I56" s="6"/>
      <c r="J56" s="6"/>
      <c r="K56" s="6"/>
      <c r="L56" s="6"/>
      <c r="M56" s="6"/>
      <c r="N56" s="6"/>
      <c r="O56" s="6" t="s">
        <v>25</v>
      </c>
      <c r="P56" s="6"/>
      <c r="Q56" s="6"/>
      <c r="R56" s="6"/>
      <c r="S56" s="6" t="s">
        <v>25</v>
      </c>
      <c r="T56" s="4">
        <v>3</v>
      </c>
    </row>
    <row r="57" spans="1:20" x14ac:dyDescent="0.4">
      <c r="A57" s="16" t="str">
        <f t="shared" si="3"/>
        <v>環境生物與漁業科學學系</v>
      </c>
      <c r="B57" s="16" t="str">
        <f>"00631019"</f>
        <v>00631019</v>
      </c>
      <c r="C57" s="16" t="str">
        <f>"高立瓴"</f>
        <v>高立瓴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 t="s">
        <v>25</v>
      </c>
      <c r="S57" s="6"/>
      <c r="T57" s="4">
        <v>1</v>
      </c>
    </row>
    <row r="58" spans="1:20" x14ac:dyDescent="0.4">
      <c r="A58" s="16" t="str">
        <f t="shared" si="3"/>
        <v>環境生物與漁業科學學系</v>
      </c>
      <c r="B58" s="16" t="str">
        <f>"00631020"</f>
        <v>00631020</v>
      </c>
      <c r="C58" s="16" t="str">
        <f>"李晴晴"</f>
        <v>李晴晴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 t="s">
        <v>25</v>
      </c>
      <c r="P58" s="6"/>
      <c r="Q58" s="6"/>
      <c r="R58" s="6"/>
      <c r="S58" s="6" t="s">
        <v>25</v>
      </c>
      <c r="T58" s="4">
        <v>2</v>
      </c>
    </row>
    <row r="59" spans="1:20" x14ac:dyDescent="0.4">
      <c r="A59" s="16" t="str">
        <f t="shared" si="3"/>
        <v>環境生物與漁業科學學系</v>
      </c>
      <c r="B59" s="16" t="str">
        <f>"00631021"</f>
        <v>00631021</v>
      </c>
      <c r="C59" s="16" t="str">
        <f>"李品萱"</f>
        <v>李品萱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 t="s">
        <v>25</v>
      </c>
      <c r="T59" s="4">
        <v>1</v>
      </c>
    </row>
    <row r="60" spans="1:20" x14ac:dyDescent="0.4">
      <c r="A60" s="16" t="str">
        <f t="shared" si="3"/>
        <v>環境生物與漁業科學學系</v>
      </c>
      <c r="B60" s="16" t="str">
        <f>"00631022"</f>
        <v>00631022</v>
      </c>
      <c r="C60" s="16" t="str">
        <f>"連宸緯"</f>
        <v>連宸緯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 t="s">
        <v>25</v>
      </c>
      <c r="S60" s="6"/>
      <c r="T60" s="4">
        <v>1</v>
      </c>
    </row>
    <row r="61" spans="1:20" x14ac:dyDescent="0.4">
      <c r="A61" s="16" t="str">
        <f t="shared" si="3"/>
        <v>環境生物與漁業科學學系</v>
      </c>
      <c r="B61" s="16" t="str">
        <f>"00631023"</f>
        <v>00631023</v>
      </c>
      <c r="C61" s="16" t="str">
        <f>"吳俊宏"</f>
        <v>吳俊宏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 t="s">
        <v>25</v>
      </c>
      <c r="P61" s="6"/>
      <c r="Q61" s="6"/>
      <c r="R61" s="6"/>
      <c r="S61" s="6"/>
      <c r="T61" s="4">
        <v>1</v>
      </c>
    </row>
    <row r="62" spans="1:20" x14ac:dyDescent="0.4">
      <c r="A62" s="16" t="str">
        <f t="shared" si="3"/>
        <v>環境生物與漁業科學學系</v>
      </c>
      <c r="B62" s="16" t="str">
        <f>"00631026"</f>
        <v>00631026</v>
      </c>
      <c r="C62" s="16" t="str">
        <f>"葉軒豪"</f>
        <v>葉軒豪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 t="s">
        <v>25</v>
      </c>
      <c r="P62" s="6"/>
      <c r="Q62" s="6"/>
      <c r="R62" s="6"/>
      <c r="S62" s="6" t="s">
        <v>25</v>
      </c>
      <c r="T62" s="4">
        <v>2</v>
      </c>
    </row>
    <row r="63" spans="1:20" x14ac:dyDescent="0.4">
      <c r="A63" s="16" t="str">
        <f t="shared" si="3"/>
        <v>環境生物與漁業科學學系</v>
      </c>
      <c r="B63" s="16" t="str">
        <f>"00631027"</f>
        <v>00631027</v>
      </c>
      <c r="C63" s="16" t="str">
        <f>"李瑾柔"</f>
        <v>李瑾柔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 t="s">
        <v>25</v>
      </c>
      <c r="P63" s="6"/>
      <c r="Q63" s="6"/>
      <c r="R63" s="6"/>
      <c r="S63" s="6" t="s">
        <v>25</v>
      </c>
      <c r="T63" s="4">
        <v>2</v>
      </c>
    </row>
    <row r="64" spans="1:20" x14ac:dyDescent="0.4">
      <c r="A64" s="16" t="str">
        <f t="shared" si="3"/>
        <v>環境生物與漁業科學學系</v>
      </c>
      <c r="B64" s="16" t="str">
        <f>"00631028"</f>
        <v>00631028</v>
      </c>
      <c r="C64" s="16" t="str">
        <f>"陳家綺"</f>
        <v>陳家綺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 t="s">
        <v>25</v>
      </c>
      <c r="P64" s="6"/>
      <c r="Q64" s="6"/>
      <c r="R64" s="6"/>
      <c r="S64" s="6" t="s">
        <v>25</v>
      </c>
      <c r="T64" s="4">
        <v>2</v>
      </c>
    </row>
    <row r="65" spans="1:20" x14ac:dyDescent="0.4">
      <c r="A65" s="16" t="str">
        <f t="shared" si="3"/>
        <v>環境生物與漁業科學學系</v>
      </c>
      <c r="B65" s="16" t="str">
        <f>"00631029"</f>
        <v>00631029</v>
      </c>
      <c r="C65" s="16" t="str">
        <f>"郭佳臻"</f>
        <v>郭佳臻</v>
      </c>
      <c r="D65" s="6"/>
      <c r="E65" s="6"/>
      <c r="F65" s="6"/>
      <c r="G65" s="6"/>
      <c r="H65" s="6" t="s">
        <v>25</v>
      </c>
      <c r="I65" s="6"/>
      <c r="J65" s="6"/>
      <c r="K65" s="6"/>
      <c r="L65" s="6"/>
      <c r="M65" s="6"/>
      <c r="N65" s="6"/>
      <c r="O65" s="6" t="s">
        <v>25</v>
      </c>
      <c r="P65" s="6"/>
      <c r="Q65" s="6"/>
      <c r="R65" s="6"/>
      <c r="S65" s="6" t="s">
        <v>25</v>
      </c>
      <c r="T65" s="4">
        <v>3</v>
      </c>
    </row>
    <row r="66" spans="1:20" x14ac:dyDescent="0.4">
      <c r="A66" s="16" t="str">
        <f t="shared" si="3"/>
        <v>環境生物與漁業科學學系</v>
      </c>
      <c r="B66" s="16" t="str">
        <f>"00631030"</f>
        <v>00631030</v>
      </c>
      <c r="C66" s="16" t="str">
        <f>"林淳楷"</f>
        <v>林淳楷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 t="s">
        <v>25</v>
      </c>
      <c r="P66" s="6"/>
      <c r="Q66" s="6"/>
      <c r="R66" s="6"/>
      <c r="S66" s="6"/>
      <c r="T66" s="4">
        <v>1</v>
      </c>
    </row>
    <row r="67" spans="1:20" x14ac:dyDescent="0.4">
      <c r="A67" s="16" t="str">
        <f t="shared" si="3"/>
        <v>環境生物與漁業科學學系</v>
      </c>
      <c r="B67" s="16" t="str">
        <f>"00631032"</f>
        <v>00631032</v>
      </c>
      <c r="C67" s="16" t="str">
        <f>"林品綸"</f>
        <v>林品綸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 t="s">
        <v>25</v>
      </c>
      <c r="P67" s="6"/>
      <c r="Q67" s="6"/>
      <c r="R67" s="6"/>
      <c r="S67" s="6"/>
      <c r="T67" s="4">
        <v>1</v>
      </c>
    </row>
    <row r="68" spans="1:20" x14ac:dyDescent="0.4">
      <c r="A68" s="16" t="str">
        <f t="shared" si="3"/>
        <v>環境生物與漁業科學學系</v>
      </c>
      <c r="B68" s="16" t="str">
        <f>"00631033"</f>
        <v>00631033</v>
      </c>
      <c r="C68" s="16" t="str">
        <f>"林萬軒"</f>
        <v>林萬軒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 t="s">
        <v>25</v>
      </c>
      <c r="P68" s="6"/>
      <c r="Q68" s="6"/>
      <c r="R68" s="6"/>
      <c r="S68" s="6"/>
      <c r="T68" s="4">
        <v>1</v>
      </c>
    </row>
    <row r="69" spans="1:20" x14ac:dyDescent="0.4">
      <c r="A69" s="16" t="str">
        <f t="shared" si="3"/>
        <v>環境生物與漁業科學學系</v>
      </c>
      <c r="B69" s="16" t="str">
        <f>"00631034"</f>
        <v>00631034</v>
      </c>
      <c r="C69" s="16" t="str">
        <f>"林宸熙"</f>
        <v>林宸熙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 t="s">
        <v>25</v>
      </c>
      <c r="S69" s="6"/>
      <c r="T69" s="4">
        <v>1</v>
      </c>
    </row>
    <row r="70" spans="1:20" x14ac:dyDescent="0.4">
      <c r="A70" s="16" t="str">
        <f t="shared" si="3"/>
        <v>環境生物與漁業科學學系</v>
      </c>
      <c r="B70" s="16" t="str">
        <f>"00631036"</f>
        <v>00631036</v>
      </c>
      <c r="C70" s="16" t="str">
        <f>"陳玟卉"</f>
        <v>陳玟卉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 t="s">
        <v>25</v>
      </c>
      <c r="P70" s="6"/>
      <c r="Q70" s="6"/>
      <c r="R70" s="6"/>
      <c r="S70" s="6" t="s">
        <v>25</v>
      </c>
      <c r="T70" s="4">
        <v>2</v>
      </c>
    </row>
    <row r="71" spans="1:20" x14ac:dyDescent="0.4">
      <c r="A71" s="16" t="str">
        <f t="shared" si="3"/>
        <v>環境生物與漁業科學學系</v>
      </c>
      <c r="B71" s="16" t="str">
        <f>"00631040"</f>
        <v>00631040</v>
      </c>
      <c r="C71" s="16" t="str">
        <f>"廖瑾亦"</f>
        <v>廖瑾亦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 t="s">
        <v>25</v>
      </c>
      <c r="Q71" s="6"/>
      <c r="R71" s="6"/>
      <c r="S71" s="6" t="s">
        <v>25</v>
      </c>
      <c r="T71" s="4">
        <v>2</v>
      </c>
    </row>
    <row r="72" spans="1:20" x14ac:dyDescent="0.4">
      <c r="A72" s="10" t="str">
        <f>"海洋環境資訊系"</f>
        <v>海洋環境資訊系</v>
      </c>
      <c r="B72" s="10" t="str">
        <f>"00681003"</f>
        <v>00681003</v>
      </c>
      <c r="C72" s="10" t="str">
        <f>"劉蕙慈"</f>
        <v>劉蕙慈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 t="s">
        <v>25</v>
      </c>
      <c r="R72" s="6"/>
      <c r="S72" s="6"/>
      <c r="T72" s="4">
        <v>1</v>
      </c>
    </row>
    <row r="73" spans="1:20" x14ac:dyDescent="0.4">
      <c r="A73" s="10" t="str">
        <f t="shared" ref="A73:A82" si="4">"海洋環境資訊系"</f>
        <v>海洋環境資訊系</v>
      </c>
      <c r="B73" s="10" t="str">
        <f>"00681006"</f>
        <v>00681006</v>
      </c>
      <c r="C73" s="10" t="str">
        <f>"吳襄履"</f>
        <v>吳襄履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 t="s">
        <v>25</v>
      </c>
      <c r="R73" s="6"/>
      <c r="S73" s="6"/>
      <c r="T73" s="4">
        <v>1</v>
      </c>
    </row>
    <row r="74" spans="1:20" x14ac:dyDescent="0.4">
      <c r="A74" s="10" t="str">
        <f t="shared" si="4"/>
        <v>海洋環境資訊系</v>
      </c>
      <c r="B74" s="10" t="str">
        <f>"00681008"</f>
        <v>00681008</v>
      </c>
      <c r="C74" s="10" t="str">
        <f>"吳維常"</f>
        <v>吳維常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 t="s">
        <v>25</v>
      </c>
      <c r="P74" s="6"/>
      <c r="Q74" s="6"/>
      <c r="R74" s="6"/>
      <c r="S74" s="6" t="s">
        <v>25</v>
      </c>
      <c r="T74" s="4">
        <v>2</v>
      </c>
    </row>
    <row r="75" spans="1:20" x14ac:dyDescent="0.4">
      <c r="A75" s="10" t="str">
        <f t="shared" si="4"/>
        <v>海洋環境資訊系</v>
      </c>
      <c r="B75" s="10" t="str">
        <f>"00681009"</f>
        <v>00681009</v>
      </c>
      <c r="C75" s="10" t="str">
        <f>"李重諺"</f>
        <v>李重諺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 t="s">
        <v>25</v>
      </c>
      <c r="P75" s="6"/>
      <c r="Q75" s="6"/>
      <c r="R75" s="6"/>
      <c r="S75" s="6"/>
      <c r="T75" s="4">
        <v>1</v>
      </c>
    </row>
    <row r="76" spans="1:20" x14ac:dyDescent="0.4">
      <c r="A76" s="10" t="str">
        <f t="shared" si="4"/>
        <v>海洋環境資訊系</v>
      </c>
      <c r="B76" s="10" t="str">
        <f>"00681011"</f>
        <v>00681011</v>
      </c>
      <c r="C76" s="10" t="str">
        <f>"何真珍"</f>
        <v>何真珍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 t="s">
        <v>25</v>
      </c>
      <c r="R76" s="6"/>
      <c r="S76" s="6"/>
      <c r="T76" s="4">
        <v>1</v>
      </c>
    </row>
    <row r="77" spans="1:20" x14ac:dyDescent="0.4">
      <c r="A77" s="10" t="str">
        <f t="shared" si="4"/>
        <v>海洋環境資訊系</v>
      </c>
      <c r="B77" s="10" t="str">
        <f>"00681017"</f>
        <v>00681017</v>
      </c>
      <c r="C77" s="10" t="str">
        <f>"吳欣茹"</f>
        <v>吳欣茹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 t="s">
        <v>25</v>
      </c>
      <c r="P77" s="6"/>
      <c r="Q77" s="6" t="s">
        <v>25</v>
      </c>
      <c r="R77" s="6"/>
      <c r="S77" s="6"/>
      <c r="T77" s="4">
        <v>2</v>
      </c>
    </row>
    <row r="78" spans="1:20" x14ac:dyDescent="0.4">
      <c r="A78" s="10" t="str">
        <f t="shared" si="4"/>
        <v>海洋環境資訊系</v>
      </c>
      <c r="B78" s="10" t="str">
        <f>"00681019"</f>
        <v>00681019</v>
      </c>
      <c r="C78" s="10" t="str">
        <f>"陳品心"</f>
        <v>陳品心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 t="s">
        <v>25</v>
      </c>
      <c r="R78" s="6"/>
      <c r="S78" s="6"/>
      <c r="T78" s="4">
        <v>1</v>
      </c>
    </row>
    <row r="79" spans="1:20" x14ac:dyDescent="0.4">
      <c r="A79" s="10" t="str">
        <f t="shared" si="4"/>
        <v>海洋環境資訊系</v>
      </c>
      <c r="B79" s="10" t="str">
        <f>"00681022"</f>
        <v>00681022</v>
      </c>
      <c r="C79" s="10" t="str">
        <f>"吳少白"</f>
        <v>吳少白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 t="s">
        <v>25</v>
      </c>
      <c r="R79" s="6"/>
      <c r="S79" s="6"/>
      <c r="T79" s="4">
        <v>1</v>
      </c>
    </row>
    <row r="80" spans="1:20" x14ac:dyDescent="0.4">
      <c r="A80" s="10" t="str">
        <f t="shared" si="4"/>
        <v>海洋環境資訊系</v>
      </c>
      <c r="B80" s="10" t="str">
        <f>"00681024"</f>
        <v>00681024</v>
      </c>
      <c r="C80" s="10" t="str">
        <f>"吳淳如"</f>
        <v>吳淳如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 t="s">
        <v>25</v>
      </c>
      <c r="P80" s="6"/>
      <c r="Q80" s="6" t="s">
        <v>25</v>
      </c>
      <c r="R80" s="6"/>
      <c r="S80" s="6"/>
      <c r="T80" s="4">
        <v>2</v>
      </c>
    </row>
    <row r="81" spans="1:20" x14ac:dyDescent="0.4">
      <c r="A81" s="10" t="str">
        <f t="shared" si="4"/>
        <v>海洋環境資訊系</v>
      </c>
      <c r="B81" s="10" t="str">
        <f>"00681041"</f>
        <v>00681041</v>
      </c>
      <c r="C81" s="10" t="str">
        <f>"林欣怡"</f>
        <v>林欣怡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 t="s">
        <v>25</v>
      </c>
      <c r="R81" s="6"/>
      <c r="S81" s="6"/>
      <c r="T81" s="4">
        <v>1</v>
      </c>
    </row>
    <row r="82" spans="1:20" x14ac:dyDescent="0.4">
      <c r="A82" s="10" t="str">
        <f t="shared" si="4"/>
        <v>海洋環境資訊系</v>
      </c>
      <c r="B82" s="10" t="str">
        <f>"00681043"</f>
        <v>00681043</v>
      </c>
      <c r="C82" s="10" t="str">
        <f>"陳彥樺"</f>
        <v>陳彥樺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 t="s">
        <v>25</v>
      </c>
      <c r="T82" s="4">
        <v>1</v>
      </c>
    </row>
    <row r="83" spans="1:20" x14ac:dyDescent="0.4">
      <c r="A83" s="10"/>
      <c r="B83" s="10" t="str">
        <f>"00531201"</f>
        <v>00531201</v>
      </c>
      <c r="C83" s="10" t="s">
        <v>41</v>
      </c>
      <c r="D83" s="6" t="s">
        <v>25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 t="s">
        <v>25</v>
      </c>
      <c r="Q83" s="6" t="s">
        <v>25</v>
      </c>
      <c r="R83" s="6"/>
      <c r="S83" s="6" t="s">
        <v>25</v>
      </c>
      <c r="T83" s="4">
        <v>4</v>
      </c>
    </row>
    <row r="84" spans="1:20" x14ac:dyDescent="0.4">
      <c r="A84" s="11"/>
      <c r="B84" s="11" t="str">
        <f>"00531205"</f>
        <v>00531205</v>
      </c>
      <c r="C84" s="11" t="s">
        <v>42</v>
      </c>
      <c r="D84" s="6" t="s">
        <v>25</v>
      </c>
      <c r="E84" s="6" t="s">
        <v>25</v>
      </c>
      <c r="F84" s="6"/>
      <c r="G84" s="6"/>
      <c r="H84" s="6"/>
      <c r="I84" s="6" t="s">
        <v>25</v>
      </c>
      <c r="J84" s="6"/>
      <c r="K84" s="6"/>
      <c r="L84" s="6"/>
      <c r="M84" s="6"/>
      <c r="N84" s="6"/>
      <c r="O84" s="6" t="s">
        <v>25</v>
      </c>
      <c r="P84" s="6" t="s">
        <v>25</v>
      </c>
      <c r="Q84" s="6"/>
      <c r="R84" s="6"/>
      <c r="S84" s="6" t="s">
        <v>25</v>
      </c>
      <c r="T84" s="4">
        <v>6</v>
      </c>
    </row>
    <row r="85" spans="1:20" x14ac:dyDescent="0.4">
      <c r="A85" s="11"/>
      <c r="B85" s="11" t="str">
        <f>"00531239"</f>
        <v>00531239</v>
      </c>
      <c r="C85" s="11" t="s">
        <v>43</v>
      </c>
      <c r="D85" s="6" t="s">
        <v>25</v>
      </c>
      <c r="E85" s="6" t="s">
        <v>25</v>
      </c>
      <c r="F85" s="6"/>
      <c r="G85" s="6"/>
      <c r="H85" s="6"/>
      <c r="I85" s="6" t="s">
        <v>25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4">
        <v>3</v>
      </c>
    </row>
    <row r="86" spans="1:20" x14ac:dyDescent="0.4">
      <c r="A86" s="11"/>
      <c r="B86" s="11" t="str">
        <f>"00631202"</f>
        <v>00631202</v>
      </c>
      <c r="C86" s="11" t="s">
        <v>44</v>
      </c>
      <c r="D86" s="6" t="s">
        <v>25</v>
      </c>
      <c r="E86" s="6"/>
      <c r="F86" s="6"/>
      <c r="G86" s="6"/>
      <c r="H86" s="6"/>
      <c r="I86" s="6" t="s">
        <v>25</v>
      </c>
      <c r="J86" s="6"/>
      <c r="K86" s="6"/>
      <c r="L86" s="6"/>
      <c r="M86" s="6"/>
      <c r="N86" s="6"/>
      <c r="O86" s="6"/>
      <c r="P86" s="6"/>
      <c r="Q86" s="6"/>
      <c r="R86" s="6"/>
      <c r="S86" s="6" t="s">
        <v>25</v>
      </c>
      <c r="T86" s="4">
        <v>3</v>
      </c>
    </row>
    <row r="87" spans="1:20" x14ac:dyDescent="0.4">
      <c r="A87" s="11"/>
      <c r="B87" s="11" t="str">
        <f>"00531202"</f>
        <v>00531202</v>
      </c>
      <c r="C87" s="11" t="s">
        <v>45</v>
      </c>
      <c r="D87" s="6"/>
      <c r="E87" s="6" t="s">
        <v>25</v>
      </c>
      <c r="F87" s="6"/>
      <c r="G87" s="6"/>
      <c r="H87" s="6"/>
      <c r="I87" s="6"/>
      <c r="J87" s="6" t="s">
        <v>25</v>
      </c>
      <c r="K87" s="6"/>
      <c r="L87" s="6"/>
      <c r="M87" s="6"/>
      <c r="N87" s="6"/>
      <c r="O87" s="6"/>
      <c r="P87" s="6" t="s">
        <v>25</v>
      </c>
      <c r="Q87" s="6"/>
      <c r="R87" s="6"/>
      <c r="S87" s="6"/>
      <c r="T87" s="4">
        <v>3</v>
      </c>
    </row>
    <row r="88" spans="1:20" x14ac:dyDescent="0.4">
      <c r="C88" t="s">
        <v>46</v>
      </c>
      <c r="D88" s="18">
        <v>6</v>
      </c>
      <c r="E88" s="18">
        <v>4</v>
      </c>
      <c r="F88" s="18">
        <v>1</v>
      </c>
      <c r="G88">
        <v>0</v>
      </c>
      <c r="H88">
        <v>5</v>
      </c>
      <c r="I88">
        <v>7</v>
      </c>
      <c r="J88">
        <v>5</v>
      </c>
      <c r="K88">
        <v>5</v>
      </c>
      <c r="L88">
        <v>10</v>
      </c>
      <c r="O88">
        <v>31</v>
      </c>
      <c r="P88">
        <v>21</v>
      </c>
      <c r="Q88">
        <v>21</v>
      </c>
      <c r="R88">
        <v>12</v>
      </c>
      <c r="S88">
        <v>28</v>
      </c>
      <c r="T88" s="19">
        <f>SUM(T3:T87)</f>
        <v>156</v>
      </c>
    </row>
    <row r="89" spans="1:20" x14ac:dyDescent="0.4">
      <c r="D89" s="1" t="s">
        <v>48</v>
      </c>
      <c r="E89" s="1" t="s">
        <v>49</v>
      </c>
      <c r="F89" s="1" t="s">
        <v>50</v>
      </c>
      <c r="G89" s="1" t="s">
        <v>51</v>
      </c>
      <c r="H89" s="1" t="s">
        <v>52</v>
      </c>
      <c r="I89" s="1" t="s">
        <v>53</v>
      </c>
      <c r="J89" s="1" t="s">
        <v>54</v>
      </c>
      <c r="K89" s="1" t="s">
        <v>55</v>
      </c>
      <c r="L89" s="2" t="s">
        <v>56</v>
      </c>
      <c r="M89" s="2"/>
      <c r="N89" s="2"/>
      <c r="O89" s="3" t="s">
        <v>57</v>
      </c>
      <c r="P89" s="3" t="s">
        <v>58</v>
      </c>
      <c r="Q89" s="3" t="s">
        <v>59</v>
      </c>
      <c r="R89" s="3" t="s">
        <v>60</v>
      </c>
      <c r="S89" s="3" t="s">
        <v>61</v>
      </c>
      <c r="T89" s="20" t="s">
        <v>47</v>
      </c>
    </row>
    <row r="92" spans="1:20" x14ac:dyDescent="0.4">
      <c r="A92" s="21" t="s">
        <v>62</v>
      </c>
      <c r="B92" s="22"/>
      <c r="C92" s="22"/>
    </row>
    <row r="93" spans="1:20" x14ac:dyDescent="0.4">
      <c r="A93" s="21" t="s">
        <v>63</v>
      </c>
      <c r="B93" s="21" t="s">
        <v>64</v>
      </c>
      <c r="C93" s="21" t="s">
        <v>65</v>
      </c>
    </row>
    <row r="94" spans="1:20" x14ac:dyDescent="0.4">
      <c r="A94" s="23" t="s">
        <v>67</v>
      </c>
      <c r="B94" s="23">
        <v>29</v>
      </c>
      <c r="C94" s="23">
        <f>SUM(T3:T31)</f>
        <v>59</v>
      </c>
    </row>
    <row r="95" spans="1:20" x14ac:dyDescent="0.4">
      <c r="A95" s="23" t="s">
        <v>71</v>
      </c>
      <c r="B95" s="23">
        <v>8</v>
      </c>
      <c r="C95" s="23">
        <f>SUM(T32:T39)</f>
        <v>17</v>
      </c>
    </row>
    <row r="96" spans="1:20" x14ac:dyDescent="0.4">
      <c r="A96" s="23" t="s">
        <v>69</v>
      </c>
      <c r="B96" s="23">
        <v>3</v>
      </c>
      <c r="C96" s="23">
        <f>SUM(T40:T42)</f>
        <v>4</v>
      </c>
    </row>
    <row r="97" spans="1:15" x14ac:dyDescent="0.4">
      <c r="A97" s="23" t="s">
        <v>72</v>
      </c>
      <c r="B97" s="23">
        <v>1</v>
      </c>
      <c r="C97" s="23">
        <v>1</v>
      </c>
    </row>
    <row r="98" spans="1:15" x14ac:dyDescent="0.4">
      <c r="A98" s="23" t="s">
        <v>73</v>
      </c>
      <c r="B98" s="23">
        <v>2</v>
      </c>
      <c r="C98" s="23">
        <v>2</v>
      </c>
    </row>
    <row r="99" spans="1:15" x14ac:dyDescent="0.4">
      <c r="A99" s="23" t="s">
        <v>68</v>
      </c>
      <c r="B99" s="23">
        <v>26</v>
      </c>
      <c r="C99" s="23">
        <f>SUM(T46:T71)</f>
        <v>40</v>
      </c>
    </row>
    <row r="100" spans="1:15" x14ac:dyDescent="0.4">
      <c r="A100" s="23" t="s">
        <v>66</v>
      </c>
      <c r="B100" s="23">
        <v>16</v>
      </c>
      <c r="C100" s="23">
        <f>SUM(T72:T87)</f>
        <v>33</v>
      </c>
    </row>
    <row r="101" spans="1:15" x14ac:dyDescent="0.4">
      <c r="A101" s="21" t="s">
        <v>70</v>
      </c>
      <c r="B101" s="21">
        <f>SUM(B94:B100)</f>
        <v>85</v>
      </c>
      <c r="C101" s="21">
        <f>SUM(C94:C100)</f>
        <v>156</v>
      </c>
    </row>
    <row r="104" spans="1:15" x14ac:dyDescent="0.4">
      <c r="A104" s="24" t="s">
        <v>74</v>
      </c>
      <c r="G104" s="4" t="s">
        <v>85</v>
      </c>
      <c r="H104" s="4"/>
      <c r="I104" s="4"/>
      <c r="J104" s="4"/>
      <c r="K104" s="4"/>
      <c r="L104" s="4"/>
      <c r="M104" s="4"/>
      <c r="N104" s="4"/>
      <c r="O104" s="4"/>
    </row>
    <row r="105" spans="1:15" x14ac:dyDescent="0.4">
      <c r="A105" s="24" t="s">
        <v>75</v>
      </c>
      <c r="B105" s="24" t="s">
        <v>76</v>
      </c>
      <c r="G105" s="26"/>
      <c r="H105" s="28" t="s">
        <v>93</v>
      </c>
      <c r="I105" s="26" t="s">
        <v>78</v>
      </c>
      <c r="J105" s="26" t="s">
        <v>79</v>
      </c>
      <c r="K105" s="26" t="s">
        <v>80</v>
      </c>
      <c r="L105" s="26" t="s">
        <v>81</v>
      </c>
      <c r="M105" s="26" t="s">
        <v>94</v>
      </c>
      <c r="N105" s="28" t="s">
        <v>95</v>
      </c>
      <c r="O105" s="26" t="s">
        <v>82</v>
      </c>
    </row>
    <row r="106" spans="1:15" x14ac:dyDescent="0.4">
      <c r="A106" s="25" t="s">
        <v>86</v>
      </c>
      <c r="B106" s="25">
        <v>83</v>
      </c>
      <c r="G106" s="26" t="s">
        <v>83</v>
      </c>
      <c r="H106" s="27">
        <v>70.099999999999994</v>
      </c>
      <c r="I106" s="27">
        <v>70.900000000000006</v>
      </c>
      <c r="J106" s="27">
        <v>63.6</v>
      </c>
      <c r="K106" s="27">
        <v>56.8</v>
      </c>
      <c r="L106" s="27">
        <v>63.6</v>
      </c>
      <c r="M106" s="27">
        <v>68.8</v>
      </c>
      <c r="N106" s="27">
        <v>67.8</v>
      </c>
      <c r="O106" s="27">
        <v>65.7</v>
      </c>
    </row>
    <row r="107" spans="1:15" x14ac:dyDescent="0.4">
      <c r="A107" s="25" t="s">
        <v>87</v>
      </c>
      <c r="B107" s="25">
        <v>103</v>
      </c>
      <c r="G107" s="26" t="s">
        <v>84</v>
      </c>
      <c r="H107" s="26">
        <v>0</v>
      </c>
      <c r="I107" s="26">
        <v>17</v>
      </c>
      <c r="J107" s="26">
        <v>73</v>
      </c>
      <c r="K107" s="26">
        <v>4</v>
      </c>
      <c r="L107" s="26">
        <v>59</v>
      </c>
      <c r="M107" s="26">
        <v>1</v>
      </c>
      <c r="N107" s="26">
        <v>0</v>
      </c>
      <c r="O107" s="26">
        <v>156</v>
      </c>
    </row>
    <row r="108" spans="1:15" x14ac:dyDescent="0.4">
      <c r="A108" s="25" t="s">
        <v>88</v>
      </c>
      <c r="B108" s="25">
        <v>110</v>
      </c>
    </row>
    <row r="109" spans="1:15" x14ac:dyDescent="0.4">
      <c r="A109" s="25" t="s">
        <v>89</v>
      </c>
      <c r="B109" s="25">
        <v>103</v>
      </c>
    </row>
    <row r="110" spans="1:15" x14ac:dyDescent="0.4">
      <c r="A110" s="25" t="s">
        <v>90</v>
      </c>
      <c r="B110" s="25">
        <v>108</v>
      </c>
    </row>
    <row r="111" spans="1:15" x14ac:dyDescent="0.4">
      <c r="A111" s="25" t="s">
        <v>91</v>
      </c>
      <c r="B111" s="25">
        <v>103</v>
      </c>
    </row>
    <row r="112" spans="1:15" x14ac:dyDescent="0.4">
      <c r="A112" s="25" t="s">
        <v>92</v>
      </c>
      <c r="B112" s="25">
        <v>58</v>
      </c>
    </row>
    <row r="113" spans="1:2" x14ac:dyDescent="0.4">
      <c r="A113" s="24" t="s">
        <v>77</v>
      </c>
      <c r="B113" s="24">
        <f>SUM(B106:B112)</f>
        <v>668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01_1061養殖系(白)</vt:lpstr>
      <vt:lpstr>02_1061食科系(紅)</vt:lpstr>
      <vt:lpstr>03_1061輪機系(黃)</vt:lpstr>
      <vt:lpstr>04_1061機械系(藍)</vt:lpstr>
      <vt:lpstr>05_1061光電海洋工程_馬祖海工(橘)</vt:lpstr>
      <vt:lpstr>06_1061生科_馬祖海生(紫)</vt:lpstr>
      <vt:lpstr>07_1061海洋環漁(淺黃)</vt:lpstr>
      <vt:lpstr>整合版本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kuyiyun</dc:creator>
  <cp:lastModifiedBy>X</cp:lastModifiedBy>
  <cp:lastPrinted>2017-09-22T09:23:50Z</cp:lastPrinted>
  <dcterms:created xsi:type="dcterms:W3CDTF">2015-09-25T08:04:16Z</dcterms:created>
  <dcterms:modified xsi:type="dcterms:W3CDTF">2017-11-07T08:22:19Z</dcterms:modified>
</cp:coreProperties>
</file>